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ulo Mateus\Seminfra\UBS VÁRZEA\UBS Piracaoera\Orçamento\"/>
    </mc:Choice>
  </mc:AlternateContent>
  <xr:revisionPtr revIDLastSave="0" documentId="13_ncr:1_{61000A9A-C1F6-4DB5-8CF4-6B932C7F3323}" xr6:coauthVersionLast="47" xr6:coauthVersionMax="47" xr10:uidLastSave="{00000000-0000-0000-0000-000000000000}"/>
  <bookViews>
    <workbookView xWindow="-108" yWindow="-108" windowWidth="23256" windowHeight="12456" tabRatio="867" firstSheet="2" activeTab="9" xr2:uid="{7E23532E-87ED-4D89-9C44-C29694444612}"/>
  </bookViews>
  <sheets>
    <sheet name="CAPA" sheetId="5" r:id="rId1"/>
    <sheet name="ÍNDICE" sheetId="6" r:id="rId2"/>
    <sheet name="CONTRACAPA" sheetId="7" r:id="rId3"/>
    <sheet name="SINTÉTICO" sheetId="2" r:id="rId4"/>
    <sheet name="MEMÓRIA DE CÁLCULO" sheetId="1" r:id="rId5"/>
    <sheet name="CRONOGRAMA" sheetId="12" r:id="rId6"/>
    <sheet name="RELATÓRIO FOTOGRÁFICO" sheetId="3" r:id="rId7"/>
    <sheet name="CPU" sheetId="14" r:id="rId8"/>
    <sheet name="MODELO" sheetId="10" state="hidden" r:id="rId9"/>
    <sheet name="BDI" sheetId="15" r:id="rId10"/>
    <sheet name="ENCARGOS SOCIAIS" sheetId="4" r:id="rId11"/>
    <sheet name="Relatório do Orçafascio" sheetId="16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9">BDI!$A$1:$J$51</definedName>
    <definedName name="_xlnm.Print_Area" localSheetId="0">CAPA!$A$1:$J$60</definedName>
    <definedName name="_xlnm.Print_Area" localSheetId="2">CONTRACAPA!$A$1:$J$60</definedName>
    <definedName name="_xlnm.Print_Area" localSheetId="7">CPU!$A$1:$H$155</definedName>
    <definedName name="_xlnm.Print_Area" localSheetId="5">CRONOGRAMA!$A$1:$M$42</definedName>
    <definedName name="_xlnm.Print_Area" localSheetId="10">'ENCARGOS SOCIAIS'!$A$1:$H$55</definedName>
    <definedName name="_xlnm.Print_Area" localSheetId="1">ÍNDICE!$A$1:$J$60</definedName>
    <definedName name="_xlnm.Print_Area" localSheetId="4">'MEMÓRIA DE CÁLCULO'!$A$1:$J$349</definedName>
    <definedName name="_xlnm.Print_Area" localSheetId="8">MODELO!$A$1:$O$55</definedName>
    <definedName name="_xlnm.Print_Area" localSheetId="6">'RELATÓRIO FOTOGRÁFICO'!$A$1:$P$164</definedName>
    <definedName name="_xlnm.Print_Area" localSheetId="3">SINTÉTICO!$A$1:$J$133</definedName>
    <definedName name="DESONERACAO" localSheetId="0" hidden="1">IF(OR(Import.Desoneracao="DESONERADO",Import.Desoneracao="SIM"),"SIM","NÃO")</definedName>
    <definedName name="DESONERACAO" localSheetId="2" hidden="1">IF(OR(Import.Desoneracao="DESONERADO",Import.Desoneracao="SIM"),"SIM","NÃO")</definedName>
    <definedName name="DESONERACAO" localSheetId="5" hidden="1">IF(OR(Import.Desoneracao="DESONERADO",Import.Desoneracao="SIM"),"SIM","NÃO")</definedName>
    <definedName name="DESONERACAO" localSheetId="10" hidden="1">IF(OR(Import.Desoneracao="DESONERADO",Import.Desoneracao="SIM"),"SIM","NÃO")</definedName>
    <definedName name="DESONERACAO" localSheetId="1" hidden="1">IF(OR(Import.Desoneracao="DESONERADO",Import.Desoneracao="SIM"),"SIM","NÃO")</definedName>
    <definedName name="DESONERACAO" localSheetId="8" hidden="1">IF(OR(Import.Desoneracao="DESONERADO",Import.Desoneracao="SIM"),"SIM","NÃO")</definedName>
    <definedName name="DESONERACAO" localSheetId="6" hidden="1">IF(OR('RELATÓRIO FOTOGRÁFICO'!Import.Desoneracao="DESONERADO",'RELATÓRIO FOTOGRÁFICO'!Import.Desoneracao="SIM"),"SIM","NÃO")</definedName>
    <definedName name="DESONERACAO" hidden="1">IF(OR(Import.Desoneracao="DESONERADO",Import.Desoneracao="SIM"),"SIM","NÃO")</definedName>
    <definedName name="Import.Desoneracao" localSheetId="6" hidden="1">OFFSET([1]DADOS!$G$18,0,-1)</definedName>
    <definedName name="Import.Desoneracao" hidden="1">OFFSET([2]DADOS!$G$18,0,-1)</definedName>
    <definedName name="_xlnm.Print_Titles" localSheetId="4">'MEMÓRIA DE CÁLCULO'!$1:$8</definedName>
    <definedName name="_xlnm.Print_Titles" localSheetId="6">'RELATÓRIO FOTOGRÁFICO'!$1:$9</definedName>
    <definedName name="_xlnm.Print_Titles" localSheetId="3">SINTÉTICO!$1:$8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H16" i="14"/>
  <c r="G15" i="14"/>
  <c r="G15" i="2" s="1"/>
  <c r="D15" i="14"/>
  <c r="H15" i="14"/>
  <c r="B110" i="2"/>
  <c r="B101" i="2"/>
  <c r="B100" i="2"/>
  <c r="B94" i="2"/>
  <c r="B93" i="2"/>
  <c r="B71" i="2"/>
  <c r="B63" i="2"/>
  <c r="B53" i="2"/>
  <c r="B52" i="2"/>
  <c r="B50" i="2"/>
  <c r="B22" i="2"/>
  <c r="B21" i="2"/>
  <c r="B46" i="2"/>
  <c r="B20" i="2"/>
  <c r="B10" i="2"/>
  <c r="J30" i="15"/>
  <c r="B5" i="14" l="1"/>
  <c r="B4" i="14"/>
  <c r="B3" i="14"/>
  <c r="B2" i="14"/>
  <c r="B1" i="14"/>
  <c r="B5" i="12"/>
  <c r="B4" i="12"/>
  <c r="B3" i="12"/>
  <c r="B2" i="12"/>
  <c r="B1" i="12"/>
  <c r="I5" i="1"/>
  <c r="I4" i="1"/>
  <c r="I2" i="1"/>
  <c r="I1" i="1"/>
  <c r="B5" i="1"/>
  <c r="G3" i="1"/>
  <c r="G2" i="1"/>
  <c r="G1" i="1"/>
  <c r="B4" i="1"/>
  <c r="B3" i="1"/>
  <c r="B2" i="1"/>
  <c r="B1" i="1"/>
  <c r="H59" i="14"/>
  <c r="H58" i="14"/>
  <c r="H125" i="2" l="1"/>
  <c r="H124" i="2"/>
  <c r="H122" i="2"/>
  <c r="H121" i="2"/>
  <c r="H120" i="2"/>
  <c r="H119" i="2"/>
  <c r="H117" i="2"/>
  <c r="H116" i="2"/>
  <c r="H115" i="2"/>
  <c r="H114" i="2"/>
  <c r="H112" i="2"/>
  <c r="H110" i="2"/>
  <c r="H109" i="2"/>
  <c r="H108" i="2"/>
  <c r="H107" i="2"/>
  <c r="H105" i="2"/>
  <c r="H104" i="2"/>
  <c r="H103" i="2"/>
  <c r="H101" i="2"/>
  <c r="H100" i="2"/>
  <c r="H98" i="2"/>
  <c r="H97" i="2"/>
  <c r="H96" i="2"/>
  <c r="H94" i="2"/>
  <c r="H93" i="2"/>
  <c r="H92" i="2"/>
  <c r="H91" i="2"/>
  <c r="H90" i="2"/>
  <c r="H89" i="2"/>
  <c r="H86" i="2"/>
  <c r="H85" i="2"/>
  <c r="H83" i="2"/>
  <c r="H82" i="2"/>
  <c r="H81" i="2"/>
  <c r="H80" i="2"/>
  <c r="H79" i="2"/>
  <c r="H77" i="2"/>
  <c r="H76" i="2"/>
  <c r="H74" i="2"/>
  <c r="H73" i="2"/>
  <c r="H72" i="2"/>
  <c r="H71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0" i="2"/>
  <c r="H49" i="2"/>
  <c r="H48" i="2"/>
  <c r="H47" i="2"/>
  <c r="H46" i="2"/>
  <c r="H45" i="2"/>
  <c r="H44" i="2"/>
  <c r="H43" i="2"/>
  <c r="H42" i="2"/>
  <c r="H41" i="2"/>
  <c r="H40" i="2"/>
  <c r="H37" i="2"/>
  <c r="H36" i="2"/>
  <c r="H35" i="2"/>
  <c r="H34" i="2"/>
  <c r="H32" i="2"/>
  <c r="H31" i="2"/>
  <c r="H30" i="2"/>
  <c r="H28" i="2"/>
  <c r="H27" i="2"/>
  <c r="H25" i="2"/>
  <c r="H23" i="2"/>
  <c r="H22" i="2"/>
  <c r="H21" i="2"/>
  <c r="H20" i="2"/>
  <c r="H18" i="2"/>
  <c r="H17" i="2"/>
  <c r="H16" i="2"/>
  <c r="H15" i="2"/>
  <c r="H14" i="2"/>
  <c r="H13" i="2"/>
  <c r="H12" i="2"/>
  <c r="H10" i="2"/>
  <c r="F15" i="2"/>
  <c r="K8" i="14"/>
  <c r="K12" i="14"/>
  <c r="K18" i="14"/>
  <c r="K19" i="14"/>
  <c r="K24" i="14"/>
  <c r="K25" i="14"/>
  <c r="K26" i="14"/>
  <c r="K31" i="14"/>
  <c r="K32" i="14"/>
  <c r="K33" i="14"/>
  <c r="K40" i="14"/>
  <c r="K41" i="14"/>
  <c r="K42" i="14"/>
  <c r="K51" i="14"/>
  <c r="K52" i="14"/>
  <c r="K53" i="14"/>
  <c r="K58" i="14"/>
  <c r="K59" i="14"/>
  <c r="K69" i="14"/>
  <c r="K70" i="14"/>
  <c r="K71" i="14"/>
  <c r="K133" i="14"/>
  <c r="K134" i="14"/>
  <c r="K135" i="14"/>
  <c r="K141" i="14"/>
  <c r="K142" i="14"/>
  <c r="K143" i="14"/>
  <c r="K110" i="14"/>
  <c r="K111" i="14"/>
  <c r="K117" i="14"/>
  <c r="K118" i="14"/>
  <c r="K119" i="14"/>
  <c r="K125" i="14"/>
  <c r="K126" i="14"/>
  <c r="K127" i="14"/>
  <c r="K89" i="14"/>
  <c r="K90" i="14"/>
  <c r="K91" i="14"/>
  <c r="K99" i="14"/>
  <c r="K100" i="14"/>
  <c r="K101" i="14"/>
  <c r="K109" i="14"/>
  <c r="K79" i="14"/>
  <c r="K80" i="14"/>
  <c r="K81" i="14"/>
  <c r="I15" i="2" l="1"/>
  <c r="H147" i="14"/>
  <c r="H146" i="14"/>
  <c r="H145" i="14"/>
  <c r="K145" i="14" s="1"/>
  <c r="H140" i="14"/>
  <c r="K140" i="14" s="1"/>
  <c r="H139" i="14"/>
  <c r="K139" i="14" s="1"/>
  <c r="H138" i="14"/>
  <c r="K138" i="14" s="1"/>
  <c r="H137" i="14"/>
  <c r="K137" i="14" s="1"/>
  <c r="H132" i="14"/>
  <c r="K132" i="14" s="1"/>
  <c r="H131" i="14"/>
  <c r="K131" i="14" s="1"/>
  <c r="H130" i="14"/>
  <c r="K130" i="14" s="1"/>
  <c r="H129" i="14"/>
  <c r="H124" i="14"/>
  <c r="K124" i="14" s="1"/>
  <c r="H123" i="14"/>
  <c r="K123" i="14" s="1"/>
  <c r="H122" i="14"/>
  <c r="K122" i="14" s="1"/>
  <c r="H121" i="14"/>
  <c r="K121" i="14" s="1"/>
  <c r="H116" i="14"/>
  <c r="K116" i="14" s="1"/>
  <c r="H115" i="14"/>
  <c r="K115" i="14" s="1"/>
  <c r="H114" i="14"/>
  <c r="K114" i="14" s="1"/>
  <c r="H113" i="14"/>
  <c r="K113" i="14" s="1"/>
  <c r="H108" i="14"/>
  <c r="K108" i="14" s="1"/>
  <c r="H107" i="14"/>
  <c r="K107" i="14" s="1"/>
  <c r="H106" i="14"/>
  <c r="K106" i="14" s="1"/>
  <c r="H105" i="14"/>
  <c r="K105" i="14" s="1"/>
  <c r="H104" i="14"/>
  <c r="K104" i="14" s="1"/>
  <c r="H103" i="14"/>
  <c r="K103" i="14" s="1"/>
  <c r="H98" i="14"/>
  <c r="K98" i="14" s="1"/>
  <c r="H97" i="14"/>
  <c r="K97" i="14" s="1"/>
  <c r="H96" i="14"/>
  <c r="K96" i="14" s="1"/>
  <c r="H95" i="14"/>
  <c r="K95" i="14" s="1"/>
  <c r="H94" i="14"/>
  <c r="K94" i="14" s="1"/>
  <c r="H93" i="14"/>
  <c r="H88" i="14"/>
  <c r="K88" i="14" s="1"/>
  <c r="H87" i="14"/>
  <c r="K87" i="14" s="1"/>
  <c r="H86" i="14"/>
  <c r="K86" i="14" s="1"/>
  <c r="H85" i="14"/>
  <c r="K85" i="14" s="1"/>
  <c r="H84" i="14"/>
  <c r="K84" i="14" s="1"/>
  <c r="H83" i="14"/>
  <c r="K83" i="14" s="1"/>
  <c r="H78" i="14"/>
  <c r="K78" i="14" s="1"/>
  <c r="H77" i="14"/>
  <c r="K77" i="14" s="1"/>
  <c r="H76" i="14"/>
  <c r="K76" i="14" s="1"/>
  <c r="H75" i="14"/>
  <c r="K75" i="14" s="1"/>
  <c r="H74" i="14"/>
  <c r="K74" i="14" s="1"/>
  <c r="H73" i="14"/>
  <c r="H56" i="14"/>
  <c r="K56" i="14" s="1"/>
  <c r="H57" i="14"/>
  <c r="K57" i="14" s="1"/>
  <c r="H60" i="14"/>
  <c r="K60" i="14" s="1"/>
  <c r="H61" i="14"/>
  <c r="K61" i="14" s="1"/>
  <c r="H62" i="14"/>
  <c r="K62" i="14" s="1"/>
  <c r="H63" i="14"/>
  <c r="K63" i="14" s="1"/>
  <c r="H64" i="14"/>
  <c r="K64" i="14" s="1"/>
  <c r="H65" i="14"/>
  <c r="K65" i="14" s="1"/>
  <c r="H66" i="14"/>
  <c r="K66" i="14" s="1"/>
  <c r="H67" i="14"/>
  <c r="K67" i="14" s="1"/>
  <c r="H68" i="14"/>
  <c r="K68" i="14" s="1"/>
  <c r="H55" i="14"/>
  <c r="K55" i="14" s="1"/>
  <c r="H45" i="14"/>
  <c r="K45" i="14" s="1"/>
  <c r="H46" i="14"/>
  <c r="K46" i="14" s="1"/>
  <c r="H47" i="14"/>
  <c r="K47" i="14" s="1"/>
  <c r="H48" i="14"/>
  <c r="K48" i="14" s="1"/>
  <c r="H49" i="14"/>
  <c r="K49" i="14" s="1"/>
  <c r="H50" i="14"/>
  <c r="K50" i="14" s="1"/>
  <c r="H44" i="14"/>
  <c r="K44" i="14" s="1"/>
  <c r="H36" i="14"/>
  <c r="K36" i="14" s="1"/>
  <c r="H37" i="14"/>
  <c r="K37" i="14" s="1"/>
  <c r="H38" i="14"/>
  <c r="K38" i="14" s="1"/>
  <c r="H39" i="14"/>
  <c r="K39" i="14" s="1"/>
  <c r="H35" i="14"/>
  <c r="K35" i="14" s="1"/>
  <c r="H29" i="14"/>
  <c r="K29" i="14" s="1"/>
  <c r="H30" i="14"/>
  <c r="H28" i="14"/>
  <c r="K28" i="14" s="1"/>
  <c r="G72" i="14" l="1"/>
  <c r="K73" i="14"/>
  <c r="G128" i="14"/>
  <c r="K129" i="14"/>
  <c r="G27" i="14"/>
  <c r="K30" i="14"/>
  <c r="K93" i="14"/>
  <c r="G92" i="14"/>
  <c r="H92" i="14" s="1"/>
  <c r="G112" i="14"/>
  <c r="H112" i="14" s="1"/>
  <c r="G136" i="14"/>
  <c r="H136" i="14" s="1"/>
  <c r="G144" i="14"/>
  <c r="H144" i="14" s="1"/>
  <c r="G120" i="14"/>
  <c r="H120" i="14" s="1"/>
  <c r="G102" i="14"/>
  <c r="H102" i="14" s="1"/>
  <c r="G82" i="14"/>
  <c r="H82" i="14" s="1"/>
  <c r="G54" i="14"/>
  <c r="H54" i="14" s="1"/>
  <c r="G43" i="14"/>
  <c r="H43" i="14" s="1"/>
  <c r="G34" i="14"/>
  <c r="H34" i="14" s="1"/>
  <c r="H22" i="14"/>
  <c r="K22" i="14" s="1"/>
  <c r="H23" i="14"/>
  <c r="K23" i="14" s="1"/>
  <c r="H21" i="14"/>
  <c r="K21" i="14" s="1"/>
  <c r="H128" i="14"/>
  <c r="H72" i="14"/>
  <c r="H27" i="14"/>
  <c r="H11" i="14"/>
  <c r="K11" i="14" s="1"/>
  <c r="H10" i="14"/>
  <c r="K10" i="14" s="1"/>
  <c r="E3" i="14"/>
  <c r="G2" i="14"/>
  <c r="E2" i="14"/>
  <c r="H59" i="1"/>
  <c r="H47" i="1"/>
  <c r="H48" i="1"/>
  <c r="H49" i="1"/>
  <c r="H50" i="1"/>
  <c r="H51" i="1"/>
  <c r="H52" i="1"/>
  <c r="H53" i="1"/>
  <c r="H54" i="1"/>
  <c r="H55" i="1"/>
  <c r="H56" i="1"/>
  <c r="H57" i="1"/>
  <c r="H58" i="1"/>
  <c r="H46" i="1"/>
  <c r="J43" i="1"/>
  <c r="F22" i="2" s="1"/>
  <c r="I22" i="2" s="1"/>
  <c r="C43" i="1"/>
  <c r="B43" i="1"/>
  <c r="D339" i="1"/>
  <c r="F339" i="1" s="1"/>
  <c r="J339" i="1" s="1"/>
  <c r="F124" i="2" s="1"/>
  <c r="I124" i="2" s="1"/>
  <c r="J340" i="1"/>
  <c r="C339" i="1"/>
  <c r="B339" i="1"/>
  <c r="H21" i="1"/>
  <c r="J21" i="1" s="1"/>
  <c r="F38" i="1"/>
  <c r="G9" i="14" l="1"/>
  <c r="H9" i="14" s="1"/>
  <c r="G11" i="16"/>
  <c r="K82" i="14"/>
  <c r="K136" i="14"/>
  <c r="G19" i="16"/>
  <c r="K102" i="14"/>
  <c r="G14" i="16"/>
  <c r="G20" i="16"/>
  <c r="K144" i="14"/>
  <c r="G17" i="16"/>
  <c r="K120" i="14"/>
  <c r="K9" i="14"/>
  <c r="G3" i="16"/>
  <c r="G6" i="16"/>
  <c r="K27" i="14"/>
  <c r="G10" i="16"/>
  <c r="K72" i="14"/>
  <c r="K92" i="14"/>
  <c r="G13" i="16"/>
  <c r="K112" i="14"/>
  <c r="G16" i="16"/>
  <c r="G18" i="16"/>
  <c r="K128" i="14"/>
  <c r="G20" i="14"/>
  <c r="H20" i="14" s="1"/>
  <c r="G8" i="16"/>
  <c r="K43" i="14"/>
  <c r="K34" i="14"/>
  <c r="G7" i="16"/>
  <c r="K54" i="14"/>
  <c r="G9" i="16"/>
  <c r="H60" i="1"/>
  <c r="J44" i="1" s="1"/>
  <c r="J3" i="12"/>
  <c r="J2" i="12"/>
  <c r="L2" i="12"/>
  <c r="C12" i="12"/>
  <c r="B28" i="12"/>
  <c r="B29" i="12"/>
  <c r="B30" i="12"/>
  <c r="B3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10" i="12"/>
  <c r="C30" i="12"/>
  <c r="C28" i="12"/>
  <c r="C26" i="12"/>
  <c r="C24" i="12"/>
  <c r="C22" i="12"/>
  <c r="C20" i="12"/>
  <c r="C18" i="12"/>
  <c r="C16" i="12"/>
  <c r="C14" i="12"/>
  <c r="B11" i="12"/>
  <c r="C10" i="12"/>
  <c r="G5" i="16" l="1"/>
  <c r="K20" i="14"/>
  <c r="F23" i="2"/>
  <c r="I23" i="2" s="1"/>
  <c r="C44" i="1"/>
  <c r="B44" i="1"/>
  <c r="J283" i="1"/>
  <c r="F86" i="2" s="1"/>
  <c r="I86" i="2" s="1"/>
  <c r="C283" i="1"/>
  <c r="B283" i="1"/>
  <c r="J282" i="1"/>
  <c r="F85" i="2" s="1"/>
  <c r="I85" i="2" s="1"/>
  <c r="C282" i="1"/>
  <c r="B282" i="1"/>
  <c r="B280" i="1"/>
  <c r="D42" i="1"/>
  <c r="J42" i="1" s="1"/>
  <c r="F21" i="2" s="1"/>
  <c r="I21" i="2" s="1"/>
  <c r="C42" i="1"/>
  <c r="B42" i="1"/>
  <c r="B58" i="7"/>
  <c r="B58" i="6"/>
  <c r="B18" i="7"/>
  <c r="B18" i="6"/>
  <c r="B57" i="10"/>
  <c r="C45" i="10"/>
  <c r="M45" i="10" s="1"/>
  <c r="B45" i="10"/>
  <c r="C44" i="10"/>
  <c r="B44" i="10"/>
  <c r="C43" i="10"/>
  <c r="O43" i="10" s="1"/>
  <c r="B43" i="10"/>
  <c r="C42" i="10"/>
  <c r="B42" i="10"/>
  <c r="C41" i="10"/>
  <c r="M41" i="10" s="1"/>
  <c r="B41" i="10"/>
  <c r="C40" i="10"/>
  <c r="B40" i="10"/>
  <c r="C39" i="10"/>
  <c r="O39" i="10" s="1"/>
  <c r="B39" i="10"/>
  <c r="C38" i="10"/>
  <c r="B38" i="10"/>
  <c r="C37" i="10"/>
  <c r="M37" i="10" s="1"/>
  <c r="B37" i="10"/>
  <c r="C36" i="10"/>
  <c r="B36" i="10"/>
  <c r="C35" i="10"/>
  <c r="O35" i="10" s="1"/>
  <c r="B35" i="10"/>
  <c r="C34" i="10"/>
  <c r="B34" i="10"/>
  <c r="C33" i="10"/>
  <c r="M33" i="10" s="1"/>
  <c r="B33" i="10"/>
  <c r="C32" i="10"/>
  <c r="B32" i="10"/>
  <c r="C31" i="10"/>
  <c r="O31" i="10" s="1"/>
  <c r="B31" i="10"/>
  <c r="C30" i="10"/>
  <c r="B30" i="10"/>
  <c r="C29" i="10"/>
  <c r="M29" i="10" s="1"/>
  <c r="B29" i="10"/>
  <c r="C28" i="10"/>
  <c r="B28" i="10"/>
  <c r="C27" i="10"/>
  <c r="O27" i="10" s="1"/>
  <c r="B27" i="10"/>
  <c r="C26" i="10"/>
  <c r="B26" i="10"/>
  <c r="C25" i="10"/>
  <c r="M25" i="10" s="1"/>
  <c r="B25" i="10"/>
  <c r="C24" i="10"/>
  <c r="B24" i="10"/>
  <c r="C23" i="10"/>
  <c r="O23" i="10" s="1"/>
  <c r="B23" i="10"/>
  <c r="C22" i="10"/>
  <c r="B22" i="10"/>
  <c r="C21" i="10"/>
  <c r="M21" i="10" s="1"/>
  <c r="B21" i="10"/>
  <c r="C20" i="10"/>
  <c r="B20" i="10"/>
  <c r="C19" i="10"/>
  <c r="O19" i="10" s="1"/>
  <c r="B19" i="10"/>
  <c r="C18" i="10"/>
  <c r="B18" i="10"/>
  <c r="C17" i="10"/>
  <c r="M17" i="10" s="1"/>
  <c r="B17" i="10"/>
  <c r="C16" i="10"/>
  <c r="B16" i="10"/>
  <c r="C15" i="10"/>
  <c r="O15" i="10" s="1"/>
  <c r="B15" i="10"/>
  <c r="C14" i="10"/>
  <c r="B14" i="10"/>
  <c r="C13" i="10"/>
  <c r="M13" i="10" s="1"/>
  <c r="B13" i="10"/>
  <c r="C12" i="10"/>
  <c r="B12" i="10"/>
  <c r="C11" i="10"/>
  <c r="O11" i="10" s="1"/>
  <c r="B11" i="10"/>
  <c r="C10" i="10"/>
  <c r="B10" i="10"/>
  <c r="N2" i="10"/>
  <c r="D29" i="10" l="1"/>
  <c r="H37" i="10"/>
  <c r="D11" i="10"/>
  <c r="J11" i="10"/>
  <c r="L13" i="10"/>
  <c r="I23" i="10"/>
  <c r="L29" i="10"/>
  <c r="N23" i="10"/>
  <c r="D23" i="10"/>
  <c r="F29" i="10"/>
  <c r="F15" i="10"/>
  <c r="D13" i="10"/>
  <c r="L15" i="10"/>
  <c r="F27" i="10"/>
  <c r="F31" i="10"/>
  <c r="F13" i="10"/>
  <c r="L31" i="10"/>
  <c r="F43" i="10"/>
  <c r="D39" i="10"/>
  <c r="I43" i="10"/>
  <c r="E11" i="10"/>
  <c r="L11" i="10"/>
  <c r="D17" i="10"/>
  <c r="N17" i="10"/>
  <c r="J27" i="10"/>
  <c r="F33" i="10"/>
  <c r="F11" i="10"/>
  <c r="N11" i="10"/>
  <c r="N13" i="10"/>
  <c r="F17" i="10"/>
  <c r="H21" i="10"/>
  <c r="D27" i="10"/>
  <c r="L27" i="10"/>
  <c r="N29" i="10"/>
  <c r="H33" i="10"/>
  <c r="I39" i="10"/>
  <c r="N43" i="10"/>
  <c r="L17" i="10"/>
  <c r="I11" i="10"/>
  <c r="H17" i="10"/>
  <c r="E27" i="10"/>
  <c r="N33" i="10"/>
  <c r="N39" i="10"/>
  <c r="J41" i="10"/>
  <c r="H15" i="10"/>
  <c r="M15" i="10"/>
  <c r="D19" i="10"/>
  <c r="I19" i="10"/>
  <c r="N19" i="10"/>
  <c r="H11" i="10"/>
  <c r="M11" i="10"/>
  <c r="H13" i="10"/>
  <c r="D15" i="10"/>
  <c r="I15" i="10"/>
  <c r="N15" i="10"/>
  <c r="J17" i="10"/>
  <c r="E19" i="10"/>
  <c r="J19" i="10"/>
  <c r="D21" i="10"/>
  <c r="L21" i="10"/>
  <c r="F23" i="10"/>
  <c r="L23" i="10"/>
  <c r="F25" i="10"/>
  <c r="N25" i="10"/>
  <c r="H27" i="10"/>
  <c r="M27" i="10"/>
  <c r="H29" i="10"/>
  <c r="D31" i="10"/>
  <c r="I31" i="10"/>
  <c r="N31" i="10"/>
  <c r="J33" i="10"/>
  <c r="E35" i="10"/>
  <c r="J35" i="10"/>
  <c r="D37" i="10"/>
  <c r="L37" i="10"/>
  <c r="F39" i="10"/>
  <c r="L39" i="10"/>
  <c r="F41" i="10"/>
  <c r="N41" i="10"/>
  <c r="J43" i="10"/>
  <c r="H19" i="10"/>
  <c r="M19" i="10"/>
  <c r="J25" i="10"/>
  <c r="J13" i="10"/>
  <c r="E15" i="10"/>
  <c r="J15" i="10"/>
  <c r="F19" i="10"/>
  <c r="L19" i="10"/>
  <c r="F21" i="10"/>
  <c r="N21" i="10"/>
  <c r="H23" i="10"/>
  <c r="M23" i="10"/>
  <c r="H25" i="10"/>
  <c r="I27" i="10"/>
  <c r="N27" i="10"/>
  <c r="J29" i="10"/>
  <c r="E31" i="10"/>
  <c r="J31" i="10"/>
  <c r="D33" i="10"/>
  <c r="L33" i="10"/>
  <c r="F35" i="10"/>
  <c r="L35" i="10"/>
  <c r="F37" i="10"/>
  <c r="N37" i="10"/>
  <c r="H39" i="10"/>
  <c r="M39" i="10"/>
  <c r="H41" i="10"/>
  <c r="E43" i="10"/>
  <c r="M43" i="10"/>
  <c r="H35" i="10"/>
  <c r="M35" i="10"/>
  <c r="J21" i="10"/>
  <c r="E23" i="10"/>
  <c r="J23" i="10"/>
  <c r="D25" i="10"/>
  <c r="L25" i="10"/>
  <c r="H31" i="10"/>
  <c r="M31" i="10"/>
  <c r="D35" i="10"/>
  <c r="I35" i="10"/>
  <c r="N35" i="10"/>
  <c r="J37" i="10"/>
  <c r="E39" i="10"/>
  <c r="J39" i="10"/>
  <c r="D41" i="10"/>
  <c r="L41" i="10"/>
  <c r="D43" i="10"/>
  <c r="H43" i="10"/>
  <c r="L43" i="10"/>
  <c r="F45" i="10"/>
  <c r="J45" i="10"/>
  <c r="N45" i="10"/>
  <c r="B46" i="10"/>
  <c r="G13" i="10"/>
  <c r="K13" i="10"/>
  <c r="O13" i="10"/>
  <c r="G17" i="10"/>
  <c r="K17" i="10"/>
  <c r="O17" i="10"/>
  <c r="G21" i="10"/>
  <c r="K21" i="10"/>
  <c r="O21" i="10"/>
  <c r="G25" i="10"/>
  <c r="K25" i="10"/>
  <c r="O25" i="10"/>
  <c r="G29" i="10"/>
  <c r="K29" i="10"/>
  <c r="O29" i="10"/>
  <c r="G33" i="10"/>
  <c r="K33" i="10"/>
  <c r="O33" i="10"/>
  <c r="G37" i="10"/>
  <c r="K37" i="10"/>
  <c r="O37" i="10"/>
  <c r="G41" i="10"/>
  <c r="K41" i="10"/>
  <c r="O41" i="10"/>
  <c r="G45" i="10"/>
  <c r="K45" i="10"/>
  <c r="O45" i="10"/>
  <c r="D45" i="10"/>
  <c r="H45" i="10"/>
  <c r="L45" i="10"/>
  <c r="G11" i="10"/>
  <c r="K11" i="10"/>
  <c r="E13" i="10"/>
  <c r="I13" i="10"/>
  <c r="G15" i="10"/>
  <c r="K15" i="10"/>
  <c r="E17" i="10"/>
  <c r="I17" i="10"/>
  <c r="G19" i="10"/>
  <c r="K19" i="10"/>
  <c r="E21" i="10"/>
  <c r="I21" i="10"/>
  <c r="G23" i="10"/>
  <c r="K23" i="10"/>
  <c r="E25" i="10"/>
  <c r="I25" i="10"/>
  <c r="G27" i="10"/>
  <c r="K27" i="10"/>
  <c r="E29" i="10"/>
  <c r="I29" i="10"/>
  <c r="G31" i="10"/>
  <c r="K31" i="10"/>
  <c r="E33" i="10"/>
  <c r="I33" i="10"/>
  <c r="G35" i="10"/>
  <c r="K35" i="10"/>
  <c r="E37" i="10"/>
  <c r="I37" i="10"/>
  <c r="G39" i="10"/>
  <c r="K39" i="10"/>
  <c r="E41" i="10"/>
  <c r="I41" i="10"/>
  <c r="G43" i="10"/>
  <c r="K43" i="10"/>
  <c r="E45" i="10"/>
  <c r="I45" i="10"/>
  <c r="I84" i="2" l="1"/>
  <c r="N47" i="10"/>
  <c r="D47" i="10"/>
  <c r="Q33" i="10"/>
  <c r="R33" i="10" s="1"/>
  <c r="Q13" i="10"/>
  <c r="R13" i="10" s="1"/>
  <c r="J47" i="10"/>
  <c r="J46" i="10" s="1"/>
  <c r="Q41" i="10"/>
  <c r="R41" i="10" s="1"/>
  <c r="F47" i="10"/>
  <c r="F46" i="10" s="1"/>
  <c r="Q35" i="10"/>
  <c r="R35" i="10" s="1"/>
  <c r="Q31" i="10"/>
  <c r="R31" i="10" s="1"/>
  <c r="Q27" i="10"/>
  <c r="R27" i="10" s="1"/>
  <c r="Q23" i="10"/>
  <c r="R23" i="10" s="1"/>
  <c r="Q19" i="10"/>
  <c r="R19" i="10" s="1"/>
  <c r="Q15" i="10"/>
  <c r="R15" i="10" s="1"/>
  <c r="Q37" i="10"/>
  <c r="R37" i="10" s="1"/>
  <c r="Q17" i="10"/>
  <c r="R17" i="10" s="1"/>
  <c r="L47" i="10"/>
  <c r="L46" i="10" s="1"/>
  <c r="M47" i="10"/>
  <c r="Q39" i="10"/>
  <c r="R39" i="10" s="1"/>
  <c r="Q29" i="10"/>
  <c r="R29" i="10" s="1"/>
  <c r="Q25" i="10"/>
  <c r="R25" i="10" s="1"/>
  <c r="I47" i="10"/>
  <c r="I46" i="10" s="1"/>
  <c r="Q21" i="10"/>
  <c r="R21" i="10" s="1"/>
  <c r="O47" i="10"/>
  <c r="O46" i="10" s="1"/>
  <c r="H47" i="10"/>
  <c r="H46" i="10" s="1"/>
  <c r="E47" i="10"/>
  <c r="E46" i="10" s="1"/>
  <c r="D49" i="10"/>
  <c r="D46" i="10"/>
  <c r="D48" i="10" s="1"/>
  <c r="C57" i="10"/>
  <c r="N46" i="10"/>
  <c r="Q43" i="10"/>
  <c r="R43" i="10" s="1"/>
  <c r="G47" i="10"/>
  <c r="G46" i="10" s="1"/>
  <c r="K47" i="10"/>
  <c r="K46" i="10" s="1"/>
  <c r="Q45" i="10"/>
  <c r="R45" i="10" s="1"/>
  <c r="Q11" i="10"/>
  <c r="R11" i="10" s="1"/>
  <c r="M46" i="10"/>
  <c r="E49" i="10" l="1"/>
  <c r="F49" i="10" s="1"/>
  <c r="E48" i="10"/>
  <c r="F48" i="10" s="1"/>
  <c r="G48" i="10" s="1"/>
  <c r="H48" i="10" s="1"/>
  <c r="I48" i="10" s="1"/>
  <c r="J48" i="10" s="1"/>
  <c r="K48" i="10" s="1"/>
  <c r="L48" i="10" s="1"/>
  <c r="M48" i="10" s="1"/>
  <c r="N48" i="10" s="1"/>
  <c r="O48" i="10" s="1"/>
  <c r="G49" i="10"/>
  <c r="H49" i="10" s="1"/>
  <c r="I49" i="10" s="1"/>
  <c r="J49" i="10" s="1"/>
  <c r="K49" i="10" s="1"/>
  <c r="L49" i="10" s="1"/>
  <c r="M49" i="10" s="1"/>
  <c r="N49" i="10" s="1"/>
  <c r="O49" i="10" s="1"/>
  <c r="O57" i="10" s="1"/>
  <c r="O2" i="3" l="1"/>
  <c r="M3" i="3"/>
  <c r="M2" i="3"/>
  <c r="H168" i="1" l="1"/>
  <c r="H169" i="1"/>
  <c r="H167" i="1"/>
  <c r="H170" i="1" l="1"/>
  <c r="J165" i="1" s="1"/>
  <c r="F31" i="2" s="1"/>
  <c r="I31" i="2" s="1"/>
  <c r="F69" i="1"/>
  <c r="F67" i="1"/>
  <c r="F28" i="1"/>
  <c r="F29" i="1"/>
  <c r="F30" i="1"/>
  <c r="F31" i="1"/>
  <c r="F32" i="1"/>
  <c r="F33" i="1"/>
  <c r="F34" i="1"/>
  <c r="F35" i="1"/>
  <c r="F36" i="1"/>
  <c r="F37" i="1"/>
  <c r="F39" i="1"/>
  <c r="F27" i="1"/>
  <c r="H151" i="1"/>
  <c r="H152" i="1"/>
  <c r="H153" i="1"/>
  <c r="H154" i="1"/>
  <c r="H150" i="1"/>
  <c r="H148" i="1"/>
  <c r="H146" i="1"/>
  <c r="H127" i="1"/>
  <c r="H125" i="1"/>
  <c r="H123" i="1"/>
  <c r="H121" i="1"/>
  <c r="H119" i="1"/>
  <c r="H147" i="1"/>
  <c r="H145" i="1"/>
  <c r="H144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/>
  <c r="H124" i="1"/>
  <c r="H122" i="1"/>
  <c r="H120" i="1"/>
  <c r="H118" i="1"/>
  <c r="H117" i="1"/>
  <c r="D143" i="1"/>
  <c r="H143" i="1" s="1"/>
  <c r="D140" i="1"/>
  <c r="H140" i="1" s="1"/>
  <c r="C74" i="1"/>
  <c r="B74" i="1"/>
  <c r="F40" i="1" l="1"/>
  <c r="J25" i="1" s="1"/>
  <c r="F70" i="1"/>
  <c r="J64" i="1" s="1"/>
  <c r="F25" i="2" s="1"/>
  <c r="I25" i="2" s="1"/>
  <c r="H155" i="1"/>
  <c r="J115" i="1" s="1"/>
  <c r="F28" i="2" s="1"/>
  <c r="I28" i="2" s="1"/>
  <c r="F20" i="2" l="1"/>
  <c r="I20" i="2" s="1"/>
  <c r="J16" i="1"/>
  <c r="F13" i="2" s="1"/>
  <c r="I13" i="2" s="1"/>
  <c r="C16" i="1"/>
  <c r="B16" i="1"/>
  <c r="D102" i="1"/>
  <c r="G102" i="1" s="1"/>
  <c r="D99" i="1"/>
  <c r="G99" i="1" s="1"/>
  <c r="G97" i="1"/>
  <c r="G95" i="1"/>
  <c r="G101" i="1"/>
  <c r="G100" i="1"/>
  <c r="G98" i="1"/>
  <c r="G96" i="1"/>
  <c r="G105" i="1"/>
  <c r="G104" i="1"/>
  <c r="G103" i="1"/>
  <c r="G107" i="1"/>
  <c r="G106" i="1"/>
  <c r="G94" i="1"/>
  <c r="G93" i="1"/>
  <c r="G87" i="1"/>
  <c r="G86" i="1"/>
  <c r="G82" i="1"/>
  <c r="G84" i="1"/>
  <c r="G85" i="1"/>
  <c r="G83" i="1"/>
  <c r="G81" i="1"/>
  <c r="G80" i="1"/>
  <c r="G79" i="1"/>
  <c r="G78" i="1"/>
  <c r="G92" i="1"/>
  <c r="G91" i="1"/>
  <c r="G90" i="1"/>
  <c r="G89" i="1"/>
  <c r="G88" i="1"/>
  <c r="G110" i="1"/>
  <c r="G111" i="1"/>
  <c r="G112" i="1"/>
  <c r="G113" i="1"/>
  <c r="G109" i="1"/>
  <c r="G77" i="1"/>
  <c r="G76" i="1"/>
  <c r="G114" i="1" l="1"/>
  <c r="H19" i="1"/>
  <c r="J19" i="1" s="1"/>
  <c r="F16" i="2" s="1"/>
  <c r="I16" i="2" s="1"/>
  <c r="J74" i="1" l="1"/>
  <c r="F18" i="2"/>
  <c r="I18" i="2" s="1"/>
  <c r="F27" i="2" l="1"/>
  <c r="I27" i="2" s="1"/>
  <c r="C21" i="1"/>
  <c r="B21" i="1"/>
  <c r="C19" i="1"/>
  <c r="B19" i="1"/>
  <c r="J317" i="1"/>
  <c r="F110" i="2" s="1"/>
  <c r="I110" i="2" s="1"/>
  <c r="C317" i="1"/>
  <c r="B317" i="1"/>
  <c r="F290" i="1"/>
  <c r="J288" i="1"/>
  <c r="F89" i="2" s="1"/>
  <c r="I89" i="2" s="1"/>
  <c r="C288" i="1"/>
  <c r="B288" i="1"/>
  <c r="J289" i="1"/>
  <c r="F90" i="2" s="1"/>
  <c r="I90" i="2" s="1"/>
  <c r="C289" i="1"/>
  <c r="B289" i="1"/>
  <c r="J333" i="1"/>
  <c r="F120" i="2" s="1"/>
  <c r="I120" i="2" s="1"/>
  <c r="J334" i="1"/>
  <c r="F121" i="2" s="1"/>
  <c r="I121" i="2" s="1"/>
  <c r="J335" i="1"/>
  <c r="F122" i="2" s="1"/>
  <c r="I122" i="2" s="1"/>
  <c r="J332" i="1"/>
  <c r="F119" i="2" s="1"/>
  <c r="I119" i="2" s="1"/>
  <c r="F125" i="2"/>
  <c r="I125" i="2" s="1"/>
  <c r="J304" i="1"/>
  <c r="F101" i="2" s="1"/>
  <c r="I101" i="2" s="1"/>
  <c r="J303" i="1"/>
  <c r="F100" i="2" s="1"/>
  <c r="I100" i="2" s="1"/>
  <c r="J291" i="1"/>
  <c r="F92" i="2" s="1"/>
  <c r="I92" i="2" s="1"/>
  <c r="J292" i="1"/>
  <c r="F93" i="2" s="1"/>
  <c r="I93" i="2" s="1"/>
  <c r="J293" i="1"/>
  <c r="F94" i="2" s="1"/>
  <c r="I94" i="2" s="1"/>
  <c r="J290" i="1"/>
  <c r="F91" i="2" s="1"/>
  <c r="I91" i="2" s="1"/>
  <c r="J298" i="1"/>
  <c r="F97" i="2" s="1"/>
  <c r="I97" i="2" s="1"/>
  <c r="J299" i="1"/>
  <c r="F98" i="2" s="1"/>
  <c r="I98" i="2" s="1"/>
  <c r="J297" i="1"/>
  <c r="F96" i="2" s="1"/>
  <c r="I96" i="2" s="1"/>
  <c r="J328" i="1"/>
  <c r="F117" i="2" s="1"/>
  <c r="I117" i="2" s="1"/>
  <c r="C328" i="1"/>
  <c r="B328" i="1"/>
  <c r="D327" i="1"/>
  <c r="J327" i="1" s="1"/>
  <c r="D326" i="1"/>
  <c r="J326" i="1" s="1"/>
  <c r="C326" i="1"/>
  <c r="B326" i="1"/>
  <c r="J325" i="1"/>
  <c r="C325" i="1"/>
  <c r="B325" i="1"/>
  <c r="C327" i="1"/>
  <c r="B327" i="1"/>
  <c r="B323" i="1"/>
  <c r="J309" i="1"/>
  <c r="F104" i="2" s="1"/>
  <c r="I104" i="2" s="1"/>
  <c r="J310" i="1"/>
  <c r="F105" i="2" s="1"/>
  <c r="I105" i="2" s="1"/>
  <c r="J308" i="1"/>
  <c r="F103" i="2" s="1"/>
  <c r="I103" i="2" s="1"/>
  <c r="J315" i="1"/>
  <c r="F108" i="2" s="1"/>
  <c r="I108" i="2" s="1"/>
  <c r="J316" i="1"/>
  <c r="F109" i="2" s="1"/>
  <c r="I109" i="2" s="1"/>
  <c r="J314" i="1"/>
  <c r="F107" i="2" s="1"/>
  <c r="I107" i="2" s="1"/>
  <c r="J321" i="1"/>
  <c r="F112" i="2" s="1"/>
  <c r="I112" i="2" s="1"/>
  <c r="J242" i="1"/>
  <c r="F53" i="2" s="1"/>
  <c r="I53" i="2" s="1"/>
  <c r="J243" i="1"/>
  <c r="F54" i="2" s="1"/>
  <c r="I54" i="2" s="1"/>
  <c r="J244" i="1"/>
  <c r="F55" i="2" s="1"/>
  <c r="I55" i="2" s="1"/>
  <c r="J245" i="1"/>
  <c r="F56" i="2" s="1"/>
  <c r="I56" i="2" s="1"/>
  <c r="J246" i="1"/>
  <c r="F57" i="2" s="1"/>
  <c r="I57" i="2" s="1"/>
  <c r="J247" i="1"/>
  <c r="F58" i="2" s="1"/>
  <c r="I58" i="2" s="1"/>
  <c r="J248" i="1"/>
  <c r="F59" i="2" s="1"/>
  <c r="I59" i="2" s="1"/>
  <c r="J249" i="1"/>
  <c r="F60" i="2" s="1"/>
  <c r="I60" i="2" s="1"/>
  <c r="J250" i="1"/>
  <c r="F61" i="2" s="1"/>
  <c r="I61" i="2" s="1"/>
  <c r="J251" i="1"/>
  <c r="F62" i="2" s="1"/>
  <c r="I62" i="2" s="1"/>
  <c r="J252" i="1"/>
  <c r="F63" i="2" s="1"/>
  <c r="I63" i="2" s="1"/>
  <c r="J253" i="1"/>
  <c r="F64" i="2" s="1"/>
  <c r="I64" i="2" s="1"/>
  <c r="J254" i="1"/>
  <c r="F65" i="2" s="1"/>
  <c r="I65" i="2" s="1"/>
  <c r="J255" i="1"/>
  <c r="F66" i="2" s="1"/>
  <c r="I66" i="2" s="1"/>
  <c r="J256" i="1"/>
  <c r="F67" i="2" s="1"/>
  <c r="I67" i="2" s="1"/>
  <c r="J257" i="1"/>
  <c r="F68" i="2" s="1"/>
  <c r="I68" i="2" s="1"/>
  <c r="J258" i="1"/>
  <c r="F69" i="2" s="1"/>
  <c r="I69" i="2" s="1"/>
  <c r="J241" i="1"/>
  <c r="F52" i="2" s="1"/>
  <c r="I52" i="2" s="1"/>
  <c r="J230" i="1"/>
  <c r="F43" i="2" s="1"/>
  <c r="I43" i="2" s="1"/>
  <c r="C230" i="1"/>
  <c r="B230" i="1"/>
  <c r="D235" i="1"/>
  <c r="J235" i="1" s="1"/>
  <c r="F48" i="2" s="1"/>
  <c r="I48" i="2" s="1"/>
  <c r="D234" i="1"/>
  <c r="J234" i="1" s="1"/>
  <c r="F47" i="2" s="1"/>
  <c r="I47" i="2" s="1"/>
  <c r="J237" i="1"/>
  <c r="F50" i="2" s="1"/>
  <c r="I50" i="2" s="1"/>
  <c r="C237" i="1"/>
  <c r="B237" i="1"/>
  <c r="J236" i="1"/>
  <c r="F49" i="2" s="1"/>
  <c r="I49" i="2" s="1"/>
  <c r="C236" i="1"/>
  <c r="B236" i="1"/>
  <c r="C235" i="1"/>
  <c r="B235" i="1"/>
  <c r="C234" i="1"/>
  <c r="B234" i="1"/>
  <c r="J228" i="1"/>
  <c r="F41" i="2" s="1"/>
  <c r="I41" i="2" s="1"/>
  <c r="C228" i="1"/>
  <c r="B228" i="1"/>
  <c r="J231" i="1"/>
  <c r="F44" i="2" s="1"/>
  <c r="I44" i="2" s="1"/>
  <c r="J232" i="1"/>
  <c r="F45" i="2" s="1"/>
  <c r="I45" i="2" s="1"/>
  <c r="J233" i="1"/>
  <c r="F46" i="2" s="1"/>
  <c r="I46" i="2" s="1"/>
  <c r="J229" i="1"/>
  <c r="F42" i="2" s="1"/>
  <c r="I42" i="2" s="1"/>
  <c r="J227" i="1"/>
  <c r="F40" i="2" s="1"/>
  <c r="I40" i="2" s="1"/>
  <c r="J275" i="1"/>
  <c r="F80" i="2" s="1"/>
  <c r="I80" i="2" s="1"/>
  <c r="J276" i="1"/>
  <c r="F81" i="2" s="1"/>
  <c r="I81" i="2" s="1"/>
  <c r="J277" i="1"/>
  <c r="F82" i="2" s="1"/>
  <c r="I82" i="2" s="1"/>
  <c r="J278" i="1"/>
  <c r="F83" i="2" s="1"/>
  <c r="I83" i="2" s="1"/>
  <c r="J274" i="1"/>
  <c r="F79" i="2" s="1"/>
  <c r="I79" i="2" s="1"/>
  <c r="J270" i="1"/>
  <c r="F77" i="2" s="1"/>
  <c r="I77" i="2" s="1"/>
  <c r="J269" i="1"/>
  <c r="F76" i="2" s="1"/>
  <c r="I76" i="2" s="1"/>
  <c r="J263" i="1"/>
  <c r="F72" i="2" s="1"/>
  <c r="I72" i="2" s="1"/>
  <c r="J264" i="1"/>
  <c r="F73" i="2" s="1"/>
  <c r="I73" i="2" s="1"/>
  <c r="J265" i="1"/>
  <c r="F74" i="2" s="1"/>
  <c r="I74" i="2" s="1"/>
  <c r="J262" i="1"/>
  <c r="F71" i="2" s="1"/>
  <c r="I71" i="2" s="1"/>
  <c r="F114" i="2" l="1"/>
  <c r="I114" i="2" s="1"/>
  <c r="F116" i="2"/>
  <c r="I116" i="2" s="1"/>
  <c r="F115" i="2"/>
  <c r="I115" i="2" s="1"/>
  <c r="I111" i="2"/>
  <c r="G162" i="1"/>
  <c r="G163" i="1"/>
  <c r="G173" i="1"/>
  <c r="G174" i="1"/>
  <c r="G161" i="1"/>
  <c r="F219" i="1"/>
  <c r="F220" i="1"/>
  <c r="F221" i="1"/>
  <c r="F218" i="1"/>
  <c r="I113" i="2" l="1"/>
  <c r="G175" i="1"/>
  <c r="J171" i="1" s="1"/>
  <c r="G164" i="1"/>
  <c r="J159" i="1" s="1"/>
  <c r="F30" i="2" s="1"/>
  <c r="I30" i="2" s="1"/>
  <c r="F222" i="1"/>
  <c r="D214" i="1"/>
  <c r="J197" i="1" s="1"/>
  <c r="F35" i="2" s="1"/>
  <c r="I35" i="2" s="1"/>
  <c r="D196" i="1"/>
  <c r="J179" i="1" s="1"/>
  <c r="F34" i="2" s="1"/>
  <c r="I34" i="2" s="1"/>
  <c r="F32" i="2" l="1"/>
  <c r="I32" i="2" s="1"/>
  <c r="J216" i="1"/>
  <c r="F37" i="2" s="1"/>
  <c r="I37" i="2" s="1"/>
  <c r="J215" i="1"/>
  <c r="F36" i="2" s="1"/>
  <c r="I36" i="2" s="1"/>
  <c r="C298" i="1"/>
  <c r="B298" i="1"/>
  <c r="B171" i="1"/>
  <c r="C171" i="1"/>
  <c r="C278" i="1"/>
  <c r="B278" i="1"/>
  <c r="C258" i="1"/>
  <c r="B258" i="1"/>
  <c r="C257" i="1"/>
  <c r="B257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52" i="1"/>
  <c r="B252" i="1"/>
  <c r="C251" i="1"/>
  <c r="B251" i="1"/>
  <c r="C250" i="1"/>
  <c r="B250" i="1"/>
  <c r="C249" i="1"/>
  <c r="B249" i="1"/>
  <c r="C232" i="1"/>
  <c r="B232" i="1"/>
  <c r="C231" i="1"/>
  <c r="B231" i="1"/>
  <c r="C227" i="1"/>
  <c r="B227" i="1"/>
  <c r="C316" i="1"/>
  <c r="B316" i="1"/>
  <c r="C315" i="1"/>
  <c r="B315" i="1"/>
  <c r="C314" i="1"/>
  <c r="B314" i="1"/>
  <c r="B312" i="1"/>
  <c r="C321" i="1"/>
  <c r="B321" i="1"/>
  <c r="B319" i="1"/>
  <c r="C310" i="1"/>
  <c r="B310" i="1"/>
  <c r="C309" i="1"/>
  <c r="B309" i="1"/>
  <c r="C308" i="1"/>
  <c r="B308" i="1"/>
  <c r="B306" i="1"/>
  <c r="C304" i="1"/>
  <c r="B304" i="1"/>
  <c r="C303" i="1"/>
  <c r="B303" i="1"/>
  <c r="B301" i="1"/>
  <c r="C299" i="1"/>
  <c r="B299" i="1"/>
  <c r="C297" i="1"/>
  <c r="B297" i="1"/>
  <c r="B295" i="1"/>
  <c r="B286" i="1"/>
  <c r="C277" i="1"/>
  <c r="B277" i="1"/>
  <c r="C276" i="1"/>
  <c r="B276" i="1"/>
  <c r="C275" i="1"/>
  <c r="B275" i="1"/>
  <c r="C274" i="1"/>
  <c r="B274" i="1"/>
  <c r="B272" i="1"/>
  <c r="C270" i="1"/>
  <c r="B270" i="1"/>
  <c r="C269" i="1"/>
  <c r="B269" i="1"/>
  <c r="B267" i="1"/>
  <c r="C265" i="1"/>
  <c r="B265" i="1"/>
  <c r="C264" i="1"/>
  <c r="B264" i="1"/>
  <c r="C263" i="1"/>
  <c r="B263" i="1"/>
  <c r="C262" i="1"/>
  <c r="B262" i="1"/>
  <c r="B260" i="1"/>
  <c r="B239" i="1"/>
  <c r="B225" i="1"/>
  <c r="C335" i="1"/>
  <c r="B335" i="1"/>
  <c r="C334" i="1"/>
  <c r="B334" i="1"/>
  <c r="C333" i="1"/>
  <c r="B333" i="1"/>
  <c r="C332" i="1"/>
  <c r="B332" i="1"/>
  <c r="B330" i="1"/>
  <c r="C340" i="1"/>
  <c r="B340" i="1"/>
  <c r="C293" i="1"/>
  <c r="B293" i="1"/>
  <c r="C292" i="1"/>
  <c r="B292" i="1"/>
  <c r="C291" i="1"/>
  <c r="B291" i="1"/>
  <c r="C290" i="1"/>
  <c r="B290" i="1"/>
  <c r="C256" i="1"/>
  <c r="B256" i="1"/>
  <c r="C255" i="1"/>
  <c r="B255" i="1"/>
  <c r="C254" i="1"/>
  <c r="B254" i="1"/>
  <c r="C253" i="1"/>
  <c r="B253" i="1"/>
  <c r="C229" i="1"/>
  <c r="B229" i="1"/>
  <c r="C233" i="1"/>
  <c r="B233" i="1"/>
  <c r="C216" i="1"/>
  <c r="B216" i="1"/>
  <c r="C215" i="1"/>
  <c r="B215" i="1"/>
  <c r="C197" i="1"/>
  <c r="B197" i="1"/>
  <c r="C179" i="1"/>
  <c r="B179" i="1"/>
  <c r="C165" i="1"/>
  <c r="B165" i="1"/>
  <c r="C159" i="1"/>
  <c r="B159" i="1"/>
  <c r="C115" i="1"/>
  <c r="B115" i="1"/>
  <c r="C64" i="1"/>
  <c r="B64" i="1"/>
  <c r="C25" i="1"/>
  <c r="B25" i="1"/>
  <c r="B337" i="1"/>
  <c r="B285" i="1"/>
  <c r="B224" i="1"/>
  <c r="B177" i="1"/>
  <c r="B157" i="1"/>
  <c r="B72" i="1"/>
  <c r="B62" i="1"/>
  <c r="B23" i="1"/>
  <c r="B13" i="1"/>
  <c r="C17" i="1"/>
  <c r="B17" i="1"/>
  <c r="C20" i="1"/>
  <c r="B20" i="1"/>
  <c r="C15" i="1"/>
  <c r="B15" i="1"/>
  <c r="C11" i="1"/>
  <c r="B11" i="1"/>
  <c r="B9" i="1"/>
  <c r="I123" i="2" l="1"/>
  <c r="I24" i="2"/>
  <c r="C17" i="12" s="1"/>
  <c r="I26" i="2"/>
  <c r="C19" i="12" s="1"/>
  <c r="F19" i="12" l="1"/>
  <c r="G19" i="12"/>
  <c r="E17" i="12"/>
  <c r="F17" i="12"/>
  <c r="J19" i="12"/>
  <c r="D19" i="12"/>
  <c r="I19" i="12"/>
  <c r="L19" i="12"/>
  <c r="E19" i="12"/>
  <c r="M19" i="12"/>
  <c r="H19" i="12"/>
  <c r="K19" i="12"/>
  <c r="L17" i="12"/>
  <c r="G17" i="12"/>
  <c r="M17" i="12"/>
  <c r="H17" i="12"/>
  <c r="J17" i="12"/>
  <c r="D17" i="12"/>
  <c r="K17" i="12"/>
  <c r="I17" i="12"/>
  <c r="I29" i="2"/>
  <c r="C21" i="12" s="1"/>
  <c r="C31" i="12"/>
  <c r="M31" i="12" s="1"/>
  <c r="I118" i="2"/>
  <c r="C29" i="12" s="1"/>
  <c r="I88" i="2"/>
  <c r="I99" i="2"/>
  <c r="I95" i="2"/>
  <c r="I106" i="2"/>
  <c r="I75" i="2"/>
  <c r="I102" i="2"/>
  <c r="I78" i="2"/>
  <c r="I51" i="2"/>
  <c r="I39" i="2"/>
  <c r="I70" i="2"/>
  <c r="I33" i="2"/>
  <c r="C23" i="12" s="1"/>
  <c r="M29" i="12" l="1"/>
  <c r="L29" i="12"/>
  <c r="J23" i="12"/>
  <c r="I23" i="12"/>
  <c r="I21" i="12"/>
  <c r="H21" i="12"/>
  <c r="J29" i="12"/>
  <c r="F29" i="12"/>
  <c r="G29" i="12"/>
  <c r="K29" i="12"/>
  <c r="H29" i="12"/>
  <c r="D29" i="12"/>
  <c r="I29" i="12"/>
  <c r="E29" i="12"/>
  <c r="M23" i="12"/>
  <c r="G23" i="12"/>
  <c r="E23" i="12"/>
  <c r="K23" i="12"/>
  <c r="H23" i="12"/>
  <c r="D23" i="12"/>
  <c r="L23" i="12"/>
  <c r="F23" i="12"/>
  <c r="F31" i="12"/>
  <c r="L31" i="12"/>
  <c r="G31" i="12"/>
  <c r="J31" i="12"/>
  <c r="D31" i="12"/>
  <c r="K31" i="12"/>
  <c r="H31" i="12"/>
  <c r="I31" i="12"/>
  <c r="E31" i="12"/>
  <c r="O17" i="12"/>
  <c r="P17" i="12" s="1"/>
  <c r="O19" i="12"/>
  <c r="P19" i="12" s="1"/>
  <c r="J21" i="12"/>
  <c r="L21" i="12"/>
  <c r="E21" i="12"/>
  <c r="K21" i="12"/>
  <c r="F21" i="12"/>
  <c r="D21" i="12"/>
  <c r="G21" i="12"/>
  <c r="M21" i="12"/>
  <c r="I38" i="2"/>
  <c r="C25" i="12" s="1"/>
  <c r="I87" i="2"/>
  <c r="C27" i="12" s="1"/>
  <c r="I19" i="2"/>
  <c r="C15" i="12" s="1"/>
  <c r="M27" i="12" l="1"/>
  <c r="L27" i="12"/>
  <c r="D15" i="12"/>
  <c r="E15" i="12"/>
  <c r="L25" i="12"/>
  <c r="K25" i="12"/>
  <c r="O29" i="12"/>
  <c r="P29" i="12" s="1"/>
  <c r="J27" i="12"/>
  <c r="F27" i="12"/>
  <c r="K27" i="12"/>
  <c r="H27" i="12"/>
  <c r="D27" i="12"/>
  <c r="G27" i="12"/>
  <c r="E27" i="12"/>
  <c r="I27" i="12"/>
  <c r="G25" i="12"/>
  <c r="J25" i="12"/>
  <c r="M25" i="12"/>
  <c r="H25" i="12"/>
  <c r="F25" i="12"/>
  <c r="I25" i="12"/>
  <c r="D25" i="12"/>
  <c r="E25" i="12"/>
  <c r="O21" i="12"/>
  <c r="P21" i="12" s="1"/>
  <c r="I15" i="12"/>
  <c r="J15" i="12"/>
  <c r="H15" i="12"/>
  <c r="G15" i="12"/>
  <c r="F15" i="12"/>
  <c r="M15" i="12"/>
  <c r="K15" i="12"/>
  <c r="L15" i="12"/>
  <c r="O31" i="12"/>
  <c r="P31" i="12" s="1"/>
  <c r="O23" i="12"/>
  <c r="P23" i="12" s="1"/>
  <c r="J11" i="1"/>
  <c r="J17" i="1"/>
  <c r="J20" i="1"/>
  <c r="F17" i="2" s="1"/>
  <c r="I17" i="2" s="1"/>
  <c r="H15" i="1"/>
  <c r="J15" i="1" s="1"/>
  <c r="O27" i="12" l="1"/>
  <c r="P27" i="12" s="1"/>
  <c r="O15" i="12"/>
  <c r="P15" i="12" s="1"/>
  <c r="O25" i="12"/>
  <c r="P25" i="12" s="1"/>
  <c r="F12" i="2"/>
  <c r="I12" i="2" s="1"/>
  <c r="F10" i="2"/>
  <c r="F14" i="2"/>
  <c r="I14" i="2" s="1"/>
  <c r="I10" i="2" l="1"/>
  <c r="I9" i="2" s="1"/>
  <c r="C11" i="12" s="1"/>
  <c r="I11" i="2"/>
  <c r="E11" i="12" l="1"/>
  <c r="F11" i="12"/>
  <c r="G11" i="12"/>
  <c r="H11" i="12"/>
  <c r="I11" i="12"/>
  <c r="J11" i="12"/>
  <c r="D11" i="12"/>
  <c r="K11" i="12"/>
  <c r="L11" i="12"/>
  <c r="M11" i="12"/>
  <c r="I126" i="2"/>
  <c r="C13" i="12"/>
  <c r="D13" i="12" l="1"/>
  <c r="M13" i="12"/>
  <c r="J22" i="2"/>
  <c r="J15" i="2"/>
  <c r="B43" i="12"/>
  <c r="J124" i="2"/>
  <c r="J101" i="2"/>
  <c r="J12" i="2"/>
  <c r="J17" i="2"/>
  <c r="J82" i="2"/>
  <c r="J110" i="2"/>
  <c r="J48" i="2"/>
  <c r="J125" i="2"/>
  <c r="J98" i="2"/>
  <c r="J72" i="2"/>
  <c r="J105" i="2"/>
  <c r="J55" i="2"/>
  <c r="J83" i="2"/>
  <c r="J76" i="2"/>
  <c r="J73" i="2"/>
  <c r="J58" i="2"/>
  <c r="J45" i="2"/>
  <c r="J94" i="2"/>
  <c r="J32" i="2"/>
  <c r="J114" i="2"/>
  <c r="J18" i="2"/>
  <c r="J119" i="2"/>
  <c r="J35" i="2"/>
  <c r="J107" i="2"/>
  <c r="J52" i="2"/>
  <c r="J53" i="2"/>
  <c r="J57" i="2"/>
  <c r="J36" i="2"/>
  <c r="J79" i="2"/>
  <c r="J37" i="2"/>
  <c r="J59" i="2"/>
  <c r="J81" i="2"/>
  <c r="J122" i="2"/>
  <c r="J89" i="2"/>
  <c r="J42" i="2"/>
  <c r="J92" i="2"/>
  <c r="J27" i="2"/>
  <c r="J21" i="2"/>
  <c r="J14" i="2"/>
  <c r="J49" i="2"/>
  <c r="J65" i="2"/>
  <c r="J96" i="2"/>
  <c r="J50" i="2"/>
  <c r="J43" i="2"/>
  <c r="J91" i="2"/>
  <c r="J20" i="2"/>
  <c r="J71" i="2"/>
  <c r="J108" i="2"/>
  <c r="J62" i="2"/>
  <c r="J54" i="2"/>
  <c r="J100" i="2"/>
  <c r="J25" i="2"/>
  <c r="J24" i="2" s="1"/>
  <c r="J77" i="2"/>
  <c r="J47" i="2"/>
  <c r="J10" i="2"/>
  <c r="J9" i="2" s="1"/>
  <c r="J23" i="2"/>
  <c r="J56" i="2"/>
  <c r="J67" i="2"/>
  <c r="J74" i="2"/>
  <c r="J103" i="2"/>
  <c r="J66" i="2"/>
  <c r="J121" i="2"/>
  <c r="J80" i="2"/>
  <c r="J69" i="2"/>
  <c r="J40" i="2"/>
  <c r="J60" i="2"/>
  <c r="J120" i="2"/>
  <c r="J16" i="2"/>
  <c r="J116" i="2"/>
  <c r="J61" i="2"/>
  <c r="J34" i="2"/>
  <c r="J63" i="2"/>
  <c r="J68" i="2"/>
  <c r="J64" i="2"/>
  <c r="J104" i="2"/>
  <c r="J31" i="2"/>
  <c r="J46" i="2"/>
  <c r="J41" i="2"/>
  <c r="J93" i="2"/>
  <c r="J109" i="2"/>
  <c r="J86" i="2"/>
  <c r="J115" i="2"/>
  <c r="J97" i="2"/>
  <c r="J28" i="2"/>
  <c r="J30" i="2"/>
  <c r="J44" i="2"/>
  <c r="J112" i="2"/>
  <c r="J111" i="2" s="1"/>
  <c r="J90" i="2"/>
  <c r="J13" i="2"/>
  <c r="J85" i="2"/>
  <c r="J117" i="2"/>
  <c r="K13" i="12"/>
  <c r="F13" i="12"/>
  <c r="E13" i="12"/>
  <c r="J13" i="12"/>
  <c r="I13" i="12"/>
  <c r="H13" i="12"/>
  <c r="L13" i="12"/>
  <c r="G13" i="12"/>
  <c r="J123" i="2" l="1"/>
  <c r="J102" i="2"/>
  <c r="J33" i="2"/>
  <c r="J99" i="2"/>
  <c r="J113" i="2"/>
  <c r="J75" i="2"/>
  <c r="J118" i="2"/>
  <c r="J11" i="2"/>
  <c r="J88" i="2"/>
  <c r="J78" i="2"/>
  <c r="J70" i="2"/>
  <c r="J106" i="2"/>
  <c r="J84" i="2"/>
  <c r="J26" i="2"/>
  <c r="J95" i="2"/>
  <c r="J39" i="2"/>
  <c r="J51" i="2"/>
  <c r="J29" i="2"/>
  <c r="O13" i="12"/>
  <c r="P13" i="12" s="1"/>
  <c r="J19" i="2"/>
  <c r="J38" i="2" l="1"/>
  <c r="J87" i="2"/>
  <c r="J126" i="2" l="1"/>
  <c r="O11" i="12"/>
  <c r="P11" i="12" s="1"/>
  <c r="J33" i="12"/>
  <c r="K33" i="12"/>
  <c r="I33" i="12"/>
  <c r="L33" i="12"/>
  <c r="M33" i="12"/>
  <c r="F33" i="12"/>
  <c r="H33" i="12"/>
  <c r="G33" i="12"/>
  <c r="B32" i="12"/>
  <c r="C43" i="12" s="1"/>
  <c r="D33" i="12"/>
  <c r="D35" i="12" s="1"/>
  <c r="M32" i="12" l="1"/>
  <c r="I32" i="12"/>
  <c r="G32" i="12"/>
  <c r="L32" i="12"/>
  <c r="J32" i="12"/>
  <c r="F32" i="12"/>
  <c r="K32" i="12"/>
  <c r="H32" i="12"/>
  <c r="E33" i="12"/>
  <c r="E32" i="12" s="1"/>
  <c r="D32" i="12"/>
  <c r="D34" i="12" s="1"/>
  <c r="E34" i="12" l="1"/>
  <c r="F34" i="12" s="1"/>
  <c r="G34" i="12" s="1"/>
  <c r="H34" i="12" s="1"/>
  <c r="I34" i="12" s="1"/>
  <c r="J34" i="12" s="1"/>
  <c r="K34" i="12" s="1"/>
  <c r="L34" i="12" s="1"/>
  <c r="M34" i="12" s="1"/>
  <c r="E35" i="12"/>
  <c r="F35" i="12" s="1"/>
  <c r="G35" i="12" s="1"/>
  <c r="H35" i="12" s="1"/>
  <c r="I35" i="12" s="1"/>
  <c r="J35" i="12" s="1"/>
  <c r="K35" i="12" s="1"/>
  <c r="L35" i="12" s="1"/>
  <c r="M35" i="12" s="1"/>
  <c r="M4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Débora Escócio</author>
  </authors>
  <commentList>
    <comment ref="D327" authorId="0" shapeId="0" xr:uid="{7B216194-47C2-49C8-B0EE-823033A0A221}">
      <text>
        <r>
          <rPr>
            <b/>
            <sz val="9"/>
            <color indexed="81"/>
            <rFont val="Segoe UI"/>
            <family val="2"/>
          </rPr>
          <t>Débora Escócio:</t>
        </r>
        <r>
          <rPr>
            <sz val="9"/>
            <color indexed="81"/>
            <rFont val="Segoe UI"/>
            <family val="2"/>
          </rPr>
          <t xml:space="preserve">
Luminárias + Ventiladores</t>
        </r>
      </text>
    </comment>
  </commentList>
</comments>
</file>

<file path=xl/sharedStrings.xml><?xml version="1.0" encoding="utf-8"?>
<sst xmlns="http://schemas.openxmlformats.org/spreadsheetml/2006/main" count="1910" uniqueCount="653">
  <si>
    <t>Arquivo</t>
  </si>
  <si>
    <t>Recepção/Espera</t>
  </si>
  <si>
    <t>B.H. Masc.</t>
  </si>
  <si>
    <t>Consultório Enfermagem</t>
  </si>
  <si>
    <t>Sala de Vacina</t>
  </si>
  <si>
    <t>Consultório Médico</t>
  </si>
  <si>
    <t>Sala de Procedimentos/Curativo</t>
  </si>
  <si>
    <t>Circulação</t>
  </si>
  <si>
    <t>B.H. Funcionários</t>
  </si>
  <si>
    <t>Área de Serviço</t>
  </si>
  <si>
    <t>B.H. (Consultório Médico)</t>
  </si>
  <si>
    <t>Copa</t>
  </si>
  <si>
    <t>Prefeitura Municipal de Santarém</t>
  </si>
  <si>
    <t>Banco de Dados:</t>
  </si>
  <si>
    <t>BDI</t>
  </si>
  <si>
    <t>Secretaria Municipal de Saúde - SEMSA</t>
  </si>
  <si>
    <t>CNPJ: 17.556.659/0001-21</t>
  </si>
  <si>
    <t xml:space="preserve">Av. Mendonça Furtado, 2440 - Bairro: Aldeia - CEP: 68040-050 - FONE: 2101-0100 – Santarém/PA </t>
  </si>
  <si>
    <t>Encargos Sociais</t>
  </si>
  <si>
    <t>DESONERADO</t>
  </si>
  <si>
    <t>MEMÓRIA DE CÁLCULO</t>
  </si>
  <si>
    <t>1.1</t>
  </si>
  <si>
    <t>Item</t>
  </si>
  <si>
    <t>Serviço</t>
  </si>
  <si>
    <t>Unidade</t>
  </si>
  <si>
    <t>Quantidade Total</t>
  </si>
  <si>
    <t>Comprimento (m)</t>
  </si>
  <si>
    <t>Largura (m)</t>
  </si>
  <si>
    <t>Área (m²)</t>
  </si>
  <si>
    <t>2.1</t>
  </si>
  <si>
    <t>2.2</t>
  </si>
  <si>
    <t>2.3</t>
  </si>
  <si>
    <t>SERVIÇOS PRELIMINARES</t>
  </si>
  <si>
    <t>2.4</t>
  </si>
  <si>
    <t>2.5</t>
  </si>
  <si>
    <t>2.6</t>
  </si>
  <si>
    <t>Locação da obra a trena</t>
  </si>
  <si>
    <t>Tapume c/ chapa de madeirit e=10mm (h=2.20m)</t>
  </si>
  <si>
    <t>ENTRADA DE ENERGIA ELÉTRICA, AÉREA, BIFÁSICA, COM CAIXA DE EMBUTIR, CABO DE 10 MM2 E DISJUNTOR DIN 50A (NÃO INCLUSO O POSTE DE CONCRETO). AF_07/2020_P</t>
  </si>
  <si>
    <t>m²</t>
  </si>
  <si>
    <t>PT</t>
  </si>
  <si>
    <t>UN</t>
  </si>
  <si>
    <t>Quant.</t>
  </si>
  <si>
    <t>Altura (m)</t>
  </si>
  <si>
    <t>Total</t>
  </si>
  <si>
    <t>PAREDE</t>
  </si>
  <si>
    <t>PISO</t>
  </si>
  <si>
    <t>Código</t>
  </si>
  <si>
    <t>Banco</t>
  </si>
  <si>
    <t>Descrição</t>
  </si>
  <si>
    <t>Peso (%)</t>
  </si>
  <si>
    <t>Próprio</t>
  </si>
  <si>
    <t>ADMINISTRAÇÃO LOCAL DA OBRA SÃO CIRÍACO</t>
  </si>
  <si>
    <t>%</t>
  </si>
  <si>
    <t>SINAPI</t>
  </si>
  <si>
    <t>SEDOP</t>
  </si>
  <si>
    <t>FUNDAÇÃO E ESTRUTURA</t>
  </si>
  <si>
    <t>ASSOALHO DE MADEIRA. AF_09/2020</t>
  </si>
  <si>
    <t>Parede em madeira de lei revestida 2 faces</t>
  </si>
  <si>
    <t>FORRO E COBERTURA</t>
  </si>
  <si>
    <t>ESQUADRIAS</t>
  </si>
  <si>
    <t>FORRO EM RÉGUAS DE PVC, FRISADO, PARA AMBIENTES RESIDENCIAIS, INCLUSIVE ESTRUTURA DE FIXAÇÃO. AF_05/2017_P</t>
  </si>
  <si>
    <t>ACABAMENTOS PARA FORRO (RODA-FORRO EM PERFIL METÁLICO E PLÁSTICO). AF_05/2017</t>
  </si>
  <si>
    <t>M</t>
  </si>
  <si>
    <t>TRAMA DE MADEIRA COMPOSTA POR TERÇAS PARA TELHADOS DE ATÉ 2 ÁGUAS PARA TELHA ONDULADA DE FIBROCIMENTO, METÁLICA, PLÁSTICA OU TERMOACÚSTICA, INCLUSO TRANSPORTE VERTICAL. AF_07/2019</t>
  </si>
  <si>
    <t>INSTALAÇÕES HIDROSSANITÁRIAS</t>
  </si>
  <si>
    <t>LOUÇAS E EQUIPAMENTOS</t>
  </si>
  <si>
    <t>VASO SANITÁRIO SIFONADO COM CAIXA ACOPLADA LOUÇA BRANCA - FORNECIMENTO E INSTALAÇÃO. AF_01/2020</t>
  </si>
  <si>
    <t>TANQUE DE MÁRMORE SINTÉTICO SUSPENSO, 22L OU EQUIVALENTE, INCLUSO SIFÃO TIPO GARRAFA EM PVC, VÁLVULA PLÁSTICA E TORNEIRA DE PLÁSTICO - FORNECIMENTO E INSTALAÇÃO. AF_01/2020</t>
  </si>
  <si>
    <t>BANCADA/BANCA/PIA DE ACO INOXIDAVEL (AISI 430) COM 1 CUBA CENTRAL, COM VALVULA, LISA (SEM ESCORREDOR), DE *0,55 X 1,20* M - FORNECIMENTO E INSTALAÇÃO</t>
  </si>
  <si>
    <t>CAIXA D´ÁGUA EM POLIETILENO, 2000 LITROS, COM ACESSÓRIOS</t>
  </si>
  <si>
    <t>CONEXÕES (ÁGUA FRIA)</t>
  </si>
  <si>
    <t>BUCHA DE REDUCAO DE PVC, SOLDAVEL, CURTA, COM 25 X 20 MM - FORNECIMENTO E INSTALAÇÃO</t>
  </si>
  <si>
    <t>BUCHA DE REDUCAO DE PVC, SOLDAVEL, CURTA, COM 32 X 25 MM - FORNECIMENTO E INSTALAÇÃO</t>
  </si>
  <si>
    <t>BUCHA DE REDUÇÃO, PVC, SOLDÁVEL, DN 40MM X 32MM, INSTALADO EM RAMAL OU SUB-RAMAL DE ÁGUA - FORNECIMENTO E INSTALAÇÃO. AF_03/2015</t>
  </si>
  <si>
    <t>CURVA 90 GRAUS, PVC, SOLDÁVEL, DN 20MM, INSTALADO EM RAMAL DE DISTRIBUIÇÃO DE ÁGUA - FORNECIMENTO E INSTALAÇÃO. AF_12/2014</t>
  </si>
  <si>
    <t>CURVA 90 GRAUS, PVC, SOLDÁVEL, DN 25MM, INSTALADO EM RAMAL DE DISTRIBUIÇÃO DE ÁGUA - FORNECIMENTO E INSTALAÇÃO. AF_12/2014</t>
  </si>
  <si>
    <t>JOELHO 90 GRAUS, PVC, SOLDÁVEL, DN 32MM, INSTALADO EM RAMAL DE DISTRIBUIÇÃO DE ÁGUA - FORNECIMENTO E INSTALAÇÃO. AF_12/2014</t>
  </si>
  <si>
    <t>CURVA 90 GRAUS, PVC, SOLDÁVEL, DN 40MM, INSTALADO EM PRUMADA DE ÁGUA - FORNECIMENTO E INSTALAÇÃO. AF_12/2014</t>
  </si>
  <si>
    <t>JOELHO 90 GRAUS, PVC, SOLDÁVEL, DN 20MM, INSTALADO EM RAMAL DE DISTRIBUIÇÃO DE ÁGUA - FORNECIMENTO E INSTALAÇÃO. AF_12/2014</t>
  </si>
  <si>
    <t>JOELHO 90 GRAUS, PVC, SOLDÁVEL, DN 25MM, INSTALADO EM RAMAL DE DISTRIBUIÇÃO DE ÁGUA - FORNECIMENTO E INSTALAÇÃO. AF_12/2014</t>
  </si>
  <si>
    <t>JOELHO 90 GRAUS, PVC, SOLDÁVEL, DN 40MM, INSTALADO EM PRUMADA DE ÁGUA - FORNECIMENTO E INSTALAÇÃO. AF_12/2014</t>
  </si>
  <si>
    <t>JOELHO PVC, SOLDAVEL, COM BUCHA DE LATAO, 90 GRAUS, 20 MM X 1/2", PARA AGUA FRIA PREDIAL - FORNECIMENTO E INSTALAÇÃO</t>
  </si>
  <si>
    <t>TÊ DE REDUÇÃO, PVC, SOLDÁVEL, DN 25MM X 20MM, INSTALADO EM RAMAL DE DISTRIBUIÇÃO DE ÁGUA - FORNECIMENTO E INSTALAÇÃO. AF_12/2014</t>
  </si>
  <si>
    <t>TÊ DE REDUÇÃO, PVC, SOLDÁVEL, DN 40MM X 32MM, INSTALADO EM PRUMADA DE ÁGUA - FORNECIMENTO E INSTALAÇÃO. AF_12/2014</t>
  </si>
  <si>
    <t>TE, PVC, SOLDÁVEL, DN 20MM, INSTALADO EM RAMAL DE DISTRIBUIÇÃO DE ÁGUA - FORNECIMENTO E INSTALAÇÃO. AF_12/2014</t>
  </si>
  <si>
    <t>TE, PVC, SOLDÁVEL, DN 32MM, INSTALADO EM RAMAL DE DISTRIBUIÇÃO DE ÁGUA - FORNECIMENTO E INSTALAÇÃO. AF_12/2014</t>
  </si>
  <si>
    <t>TE, PVC, SOLDÁVEL, DN 40MM, INSTALADO EM PRUMADA DE ÁGUA - FORNECIMENTO E INSTALAÇÃO. AF_12/2014</t>
  </si>
  <si>
    <t>TÊ COM BUCHA DE LATÃO NA BOLSA CENTRAL, PVC, SOLDÁVEL, DN 20MM X 1/2, INSTALADO EM RAMAL OU SUB-RAMAL DE ÁGUA - FORNECIMENTO E INSTALAÇÃO. AF_12/2014</t>
  </si>
  <si>
    <t>CONEXÕES (ESGOTO)</t>
  </si>
  <si>
    <t>CAP PVC, SOLDAVEL, DN 100 MM, SERIE NORMAL, PARA ESGOTO PREDIAL</t>
  </si>
  <si>
    <t>JOELHO 45 GRAUS, PVC, SERIE NORMAL, ESGOTO PREDIAL, DN 100 MM, JUNTA ELÁSTICA, FORNECIDO E INSTALADO EM PRUMADA DE ESGOTO SANITÁRIO OU VENTILAÇÃO. AF_12/2014</t>
  </si>
  <si>
    <t>JUNÇÃO SIMPLES, PVC, SERIE NORMAL, ESGOTO PREDIAL, DN 100 X 100 MM, JUNTA ELÁSTICA, FORNECIDO E INSTALADO EM PRUMADA DE ESGOTO SANITÁRIO OU VENTILAÇÃO. AF_12/2014</t>
  </si>
  <si>
    <t>LUVA SIMPLES, PVC, SERIE NORMAL, ESGOTO PREDIAL, DN 100 MM, JUNTA ELÁSTICA, FORNECIDO E INSTALADO EM PRUMADA DE ESGOTO SANITÁRIO OU VENTILAÇÃO. AF_12/2014</t>
  </si>
  <si>
    <t>REGISTROS E VÁLVULAS</t>
  </si>
  <si>
    <t>REGISTRO DE PRESSÃO BRUTO, LATÃO, ROSCÁVEL, 3/4", COM ACABAMENTO E CANOPLA CROMADOS. FORNECIDO E INSTALADO EM RAMAL DE ÁGUA. AF_12/2014</t>
  </si>
  <si>
    <t>REGISTRO DE ESFERA, PVC, SOLDÁVEL, DN  32 MM, INSTALADO EM RESERVAÇÃO DE ÁGUA DE EDIFICAÇÃO QUE POSSUA RESERVATÓRIO DE FIBRA/FIBROCIMENTO   FORNECIMENTO E INSTALAÇÃO. AF_06/2016</t>
  </si>
  <si>
    <t>TUBOS</t>
  </si>
  <si>
    <t>TUBO, PVC, SOLDÁVEL, DN 20MM, INSTALADO EM RAMAL OU SUB-RAMAL DE ÁGUA - FORNECIMENTO E INSTALAÇÃO. AF_12/2014</t>
  </si>
  <si>
    <t>TUBO, PVC, SOLDÁVEL, DN 25MM, INSTALADO EM RAMAL OU SUB-RAMAL DE ÁGUA - FORNECIMENTO E INSTALAÇÃO. AF_12/2014</t>
  </si>
  <si>
    <t>TUBO, PVC, SOLDÁVEL, DN 32MM, INSTALADO EM RAMAL OU SUB-RAMAL DE ÁGUA - FORNECIMENTO E INSTALAÇÃO. AF_12/2014</t>
  </si>
  <si>
    <t>TUBO, PVC, SOLDÁVEL, DN 40MM, INSTALADO EM PRUMADA DE ÁGUA - FORNECIMENTO E INSTALAÇÃO. AF_12/2014</t>
  </si>
  <si>
    <t>TUBO PVC, SERIE NORMAL, ESGOTO PREDIAL, DN 100 MM, FORNECIDO E INSTALADO EM RAMAL DE DESCARGA OU RAMAL DE ESGOTO SANITÁRIO. AF_12/2014</t>
  </si>
  <si>
    <t>INSTALAÇÕES ELÉTRICAS</t>
  </si>
  <si>
    <t>QUADROS E DISJUNTORES</t>
  </si>
  <si>
    <t>TOMADAS E INTERRUPTORES</t>
  </si>
  <si>
    <t>LUMINÁRIAS</t>
  </si>
  <si>
    <t>CABOS</t>
  </si>
  <si>
    <t>CABO DE COBRE FLEXÍVEL ISOLADO, 1,5 MM², ANTI-CHAMA 0,6/1,0 KV, PARA CIRCUITOS TERMINAIS - FORNECIMENTO E INSTALAÇÃO. AF_12/2015</t>
  </si>
  <si>
    <t>CABO DE COBRE FLEXÍVEL ISOLADO, 2,5 MM², ANTI-CHAMA 0,6/1,0 KV, PARA CIRCUITOS TERMINAIS - FORNECIMENTO E INSTALAÇÃO. AF_12/2015</t>
  </si>
  <si>
    <t>CABO DE COBRE FLEXÍVEL ISOLADO, 10 MM², ANTI-CHAMA 0,6/1,0 KV, PARA CIRCUITOS TERMINAIS - FORNECIMENTO E INSTALAÇÃO. AF_12/2015</t>
  </si>
  <si>
    <t>ELETRODUTO FLEXÍVEL CORRUGADO, PVC, DN 25 MM (3/4"), PARA CIRCUITOS TERMINAIS, INSTALADO EM PAREDE - FORNECIMENTO E INSTALAÇÃO. AF_12/2015</t>
  </si>
  <si>
    <t>ELETRODUTO FLEXÍVEL CORRUGADO, PVC, DN 32 MM (1"), PARA CIRCUITOS TERMINAIS, INSTALADO EM PAREDE - FORNECIMENTO E INSTALAÇÃO. AF_12/2015</t>
  </si>
  <si>
    <t>ELETRODUTO FLEXÍVEL CORRUGADO, PEAD, DN 50 (1 ½)  - FORNECIMENTO E INSTALAÇÃO. AF_04/2016</t>
  </si>
  <si>
    <t>EQUIPAMENTOS</t>
  </si>
  <si>
    <t>Ventilador de teto</t>
  </si>
  <si>
    <t>PREVENÇÃO E COMBATE À INCÊNDIO</t>
  </si>
  <si>
    <t>SERVIÇOS COMPLEMENTARES</t>
  </si>
  <si>
    <t>SEDOP 09/2021</t>
  </si>
  <si>
    <t>ORÇAMENTO SINTÉTICO</t>
  </si>
  <si>
    <t>Quantidade</t>
  </si>
  <si>
    <t>Valor Unitário c/ BDI (R$)</t>
  </si>
  <si>
    <t>CP108</t>
  </si>
  <si>
    <t>3.1</t>
  </si>
  <si>
    <t>3.2</t>
  </si>
  <si>
    <t>4.1</t>
  </si>
  <si>
    <t>5.1</t>
  </si>
  <si>
    <t>7.1</t>
  </si>
  <si>
    <t>7.2</t>
  </si>
  <si>
    <t>7.3</t>
  </si>
  <si>
    <t>7.4</t>
  </si>
  <si>
    <t>8.1</t>
  </si>
  <si>
    <t>8.1.1</t>
  </si>
  <si>
    <t>8.1.2</t>
  </si>
  <si>
    <t>8.1.3</t>
  </si>
  <si>
    <t>8.1.4</t>
  </si>
  <si>
    <t>CP012</t>
  </si>
  <si>
    <t>8.1.5</t>
  </si>
  <si>
    <t>CP029</t>
  </si>
  <si>
    <t>8.2</t>
  </si>
  <si>
    <t>8.2.1</t>
  </si>
  <si>
    <t>CP007</t>
  </si>
  <si>
    <t>8.2.2</t>
  </si>
  <si>
    <t>CP008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</si>
  <si>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</si>
  <si>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</si>
  <si>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</si>
  <si>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</si>
  <si>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</si>
  <si>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</si>
  <si>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</si>
  <si>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</si>
  <si>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</si>
  <si>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</si>
  <si>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CP009</t>
  </si>
  <si>
    <t>8.2.13</t>
  </si>
  <si>
    <t>8.2.14</t>
  </si>
  <si>
    <t>8.2.15</t>
  </si>
  <si>
    <t>8.2.16</t>
  </si>
  <si>
    <t>8.2.17</t>
  </si>
  <si>
    <t>8.2.18</t>
  </si>
  <si>
    <t>8.3</t>
  </si>
  <si>
    <t>8.3.1</t>
  </si>
  <si>
    <t>CP011</t>
  </si>
  <si>
    <t>8.3.2</t>
  </si>
  <si>
    <t>8.3.3</t>
  </si>
  <si>
    <t>8.3.4</t>
  </si>
  <si>
    <t>8.4</t>
  </si>
  <si>
    <t>8.4.1</t>
  </si>
  <si>
    <t>8.4.2</t>
  </si>
  <si>
    <t>8.5</t>
  </si>
  <si>
    <t>8.5.1</t>
  </si>
  <si>
    <t>8.5.2</t>
  </si>
  <si>
    <t>8.5.3</t>
  </si>
  <si>
    <t>8.5.4</t>
  </si>
  <si>
    <t>8.5.5</t>
  </si>
  <si>
    <t>9.1</t>
  </si>
  <si>
    <t>9.2</t>
  </si>
  <si>
    <t>9.3</t>
  </si>
  <si>
    <t>9.4</t>
  </si>
  <si>
    <t>9.4.1</t>
  </si>
  <si>
    <t>9.4.2</t>
  </si>
  <si>
    <t>9.4.3</t>
  </si>
  <si>
    <t>9.5</t>
  </si>
  <si>
    <t>9.5.1</t>
  </si>
  <si>
    <t>9.5.2</t>
  </si>
  <si>
    <t>9.5.3</t>
  </si>
  <si>
    <t>9.6</t>
  </si>
  <si>
    <t>9.6.1</t>
  </si>
  <si>
    <t>__________________________________</t>
  </si>
  <si>
    <t>Débora Quézia Escócio de Almeida</t>
  </si>
  <si>
    <t>Engenheira Civil - SEMSA</t>
  </si>
  <si>
    <t>CREA nº: 1518468780PA</t>
  </si>
  <si>
    <t>Quant. de projeto</t>
  </si>
  <si>
    <t>6.1</t>
  </si>
  <si>
    <t>6.2</t>
  </si>
  <si>
    <t>6.3</t>
  </si>
  <si>
    <t>9.1.1</t>
  </si>
  <si>
    <t>9.1.2</t>
  </si>
  <si>
    <t>9.1.3</t>
  </si>
  <si>
    <t>9.1.4</t>
  </si>
  <si>
    <t>9.1.5</t>
  </si>
  <si>
    <t>9.2.1</t>
  </si>
  <si>
    <t>9.2.2</t>
  </si>
  <si>
    <t>9.2.3</t>
  </si>
  <si>
    <t>9.3.1</t>
  </si>
  <si>
    <t>9.3.2</t>
  </si>
  <si>
    <t>10.1</t>
  </si>
  <si>
    <t>10.2</t>
  </si>
  <si>
    <t>10.3</t>
  </si>
  <si>
    <t>10.4</t>
  </si>
  <si>
    <t>11.1</t>
  </si>
  <si>
    <t>(%)</t>
  </si>
  <si>
    <t>Piso</t>
  </si>
  <si>
    <t>Rampa</t>
  </si>
  <si>
    <t>Perímetro (m)</t>
  </si>
  <si>
    <t>B.H. Femin.</t>
  </si>
  <si>
    <t>Farmácia</t>
  </si>
  <si>
    <t>Dep.</t>
  </si>
  <si>
    <t>Telhado 01</t>
  </si>
  <si>
    <t>Telhado 02</t>
  </si>
  <si>
    <t>Retângulo</t>
  </si>
  <si>
    <t>P01</t>
  </si>
  <si>
    <t>P02</t>
  </si>
  <si>
    <t>P03</t>
  </si>
  <si>
    <t>J01</t>
  </si>
  <si>
    <t>J02</t>
  </si>
  <si>
    <t>CURVA 90 GRAUS, PVC, SOLDÁVEL, DN 32MM, INSTALADO EM RAMAL DE DISTRIBUIÇÃO DE ÁGUA - FORNECIMENTO E INSTALAÇÃO. AF_12/2014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</si>
  <si>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</si>
  <si>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Ducha higienica cromada</t>
  </si>
  <si>
    <t>8.1.6</t>
  </si>
  <si>
    <t>8.1.7</t>
  </si>
  <si>
    <t>8.1.8</t>
  </si>
  <si>
    <t>8.1.9</t>
  </si>
  <si>
    <t>8.1.10</t>
  </si>
  <si>
    <t>8.1.11</t>
  </si>
  <si>
    <t>Porta papel higiênico - Polipropileno</t>
  </si>
  <si>
    <t>Saboneteira para sabão líquido (vidro+inox) - móvel</t>
  </si>
  <si>
    <t>Bebedouro aço inox c/4 torneiras e filtro (det.5)</t>
  </si>
  <si>
    <t>Porta-toalha em louça - tubular</t>
  </si>
  <si>
    <t>Chuveiro em PVC</t>
  </si>
  <si>
    <t>9.7</t>
  </si>
  <si>
    <t>9.7.1</t>
  </si>
  <si>
    <t>DIVERSOS</t>
  </si>
  <si>
    <t>9.7.2</t>
  </si>
  <si>
    <t>9.7.3</t>
  </si>
  <si>
    <t>9.7.4</t>
  </si>
  <si>
    <t>CAIXA RETANGULAR 4" X 2" BAIXA (0,30 M DO PISO), PVC, INSTALADA EM PAREDE - FORNECIMENTO E INSTALAÇÃO. AF_12/2015</t>
  </si>
  <si>
    <t>CAIXA RETANGULAR 4" X 2" MÉDIA (1,30 M DO PISO), PVC, INSTALADA EM PAREDE - FORNECIMENTO E INSTALAÇÃO. AF_12/2015</t>
  </si>
  <si>
    <t>CAIXA OCTOGONAL 3" X 3", PVC, INSTALADA EM LAJE - FORNECIMENTO E INSTALAÇÃO. AF_12/2015</t>
  </si>
  <si>
    <t>TOMADA MÉDIA DE EMBUTIR (1 MÓDULO), 2P+T 10 A, INCLUINDO SUPORTE E PLACA - FORNECIMENTO E INSTALAÇÃO. AF_12/2015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</si>
  <si>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</si>
  <si>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</si>
  <si>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9.1.6</t>
  </si>
  <si>
    <t>DISJUNTOR MONOPOLAR TIPO DIN, CORRENTE NOMINAL DE 10A - FORNECIMENTO E INSTALAÇÃO. AF_10/2020</t>
  </si>
  <si>
    <t>DISJUNTOR MONOPOLAR TIPO DIN, CORRENTE NOMINAL DE 40A - FORNECIMENTO E INSTALAÇÃO. AF_10/2020</t>
  </si>
  <si>
    <t>DISPOSITIVO DPS, 1 POLO, TENSAO MAXIMA DE 275 V, CORRENTE MAXIMA DE *45*KA</t>
  </si>
  <si>
    <t>DISPOSITIVO BIPOLAR DR, SENSIBILIDADE DE 30 MA, CORRENTE DE 40 A</t>
  </si>
  <si>
    <t>CP109</t>
  </si>
  <si>
    <t>CP110</t>
  </si>
  <si>
    <t>LUMINÁRIA TIPO SPOT, DE SOBREPOR, COM 1 LÂMPADA LED DE 9/10 W - FORNECIMENTO E INSTALAÇÃO.</t>
  </si>
  <si>
    <t>LUMINÁRIA TIPO SPOT, DE SOBREPOR, COM 1 LÂMPADA LED DE 18/20 W - FORNECIMENTO E INSTALAÇÃO.</t>
  </si>
  <si>
    <t>Extintor de incêndio ABC -  6Kg</t>
  </si>
  <si>
    <t>Placa de sinalização fotoluminoscente</t>
  </si>
  <si>
    <t>Ponto de luz / força (c/tubul., cx. e fiaçao) ate 200W</t>
  </si>
  <si>
    <t>LUMINÁRIA DE EMERGÊNCIA, COM 30 LÂMPADAS LED DE 2 W, SEM REATOR - FORNECIMENTO E INSTALAÇÃO. AF_02/2020</t>
  </si>
  <si>
    <t>Limpeza geral e entrega da obra</t>
  </si>
  <si>
    <t>Centro de distribuiçao p/ 12 disjuntores (c/ barramento)</t>
  </si>
  <si>
    <t>Quadro de mediçao bifasico (c/ disjuntor)</t>
  </si>
  <si>
    <t>ELETRODUTOS E ELETROCALHA</t>
  </si>
  <si>
    <t>9.5.4</t>
  </si>
  <si>
    <t>CP111</t>
  </si>
  <si>
    <t>ELETROCALHA DE METAL CURVE "U" PERF. 50X50</t>
  </si>
  <si>
    <t>Suporte para eletrocalhas</t>
  </si>
  <si>
    <t>EXECUÇÃO DE ESCRITÓRIO EM CANTEIRO DE OBRA EM CHAPA DE MADEIRA COMPENSADA, NÃO INCLUSO MOBILIÁRIO E EQUIPAMENTOS. AF_02/2016</t>
  </si>
  <si>
    <t>Oitão</t>
  </si>
  <si>
    <t>Descontos</t>
  </si>
  <si>
    <t>Vista esquerda</t>
  </si>
  <si>
    <t>Vista frontal</t>
  </si>
  <si>
    <t>Vista dos fundos</t>
  </si>
  <si>
    <t>Vista direita (lado da rampa)</t>
  </si>
  <si>
    <t>J01, J01, J01, J02, J02</t>
  </si>
  <si>
    <t>B.H.</t>
  </si>
  <si>
    <t>J01, J01, J02, J02</t>
  </si>
  <si>
    <t>A.S. (triângulo isósceles)</t>
  </si>
  <si>
    <t>A.S. (retângulo)</t>
  </si>
  <si>
    <t>A.S. (triângulo retângulo)</t>
  </si>
  <si>
    <t>Sala proc. (triângulo)</t>
  </si>
  <si>
    <t>Sala proc. (retângulo)</t>
  </si>
  <si>
    <t>Dep. (triângulo)</t>
  </si>
  <si>
    <t>Dep. (retângulo)</t>
  </si>
  <si>
    <t>Triângulo</t>
  </si>
  <si>
    <t>Retângulo h=3,10m</t>
  </si>
  <si>
    <t>P01, P02, P02, P02</t>
  </si>
  <si>
    <t>P02, P02, P02</t>
  </si>
  <si>
    <t>Retângulo h=4,29m</t>
  </si>
  <si>
    <t>P02, P02</t>
  </si>
  <si>
    <t>LIMPEZA MECANIZADA DE CAMADA VEGETAL, VEGETAÇÃO E PEQUENAS ÁRVORES (DIÂMETRO DE TRONCO MENOR QUE 0,20 M), COM TRATOR DE ESTEIRAS.AF_05/2018</t>
  </si>
  <si>
    <t>5.2</t>
  </si>
  <si>
    <t>Lados</t>
  </si>
  <si>
    <t>Altura</t>
  </si>
  <si>
    <t>Comp. (m)</t>
  </si>
  <si>
    <t>Comp. total (m)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</si>
  <si>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</si>
  <si>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</si>
  <si>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</si>
  <si>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</si>
  <si>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</si>
  <si>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</si>
  <si>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</si>
  <si>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</si>
  <si>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</si>
  <si>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Fundação com bloco</t>
  </si>
  <si>
    <t>Incl. 01</t>
  </si>
  <si>
    <t>Patamar</t>
  </si>
  <si>
    <t>Incl. 02</t>
  </si>
  <si>
    <t>Porta mad. trabalhada c/ caix. aduela e alizar</t>
  </si>
  <si>
    <t>JANELA DE ALUMÍNIO DE CORRER COM 2 FOLHAS PARA VIDROS, COM VIDROS, BATENTE, ACABAMENTO COM ACETATO OU BRILHANTE E FERRAGENS. EXCLUSIVE ALIZAR E CONTRAMARCO. FORNECIMENTO E INSTALAÇÃO. AF_12/2019</t>
  </si>
  <si>
    <t>SINAPI 08/2021 Desonerado</t>
  </si>
  <si>
    <t>RELATÓRIO FOTOGRÁFICO</t>
  </si>
  <si>
    <r>
      <t xml:space="preserve">Objeto: </t>
    </r>
    <r>
      <rPr>
        <b/>
        <sz val="12"/>
        <color theme="1"/>
        <rFont val="Arial Narrow"/>
        <family val="2"/>
      </rPr>
      <t>CONSTRUÇÃO DE CENTRO DE SAÚDE NA COMUNIDADE SÃO CIRÍACO NA REGIÃO DE VÁRZEA DO MUNICÍPIO DE SANTARÉM</t>
    </r>
  </si>
  <si>
    <t>SINAPI - Composição de Encargos Sociais</t>
  </si>
  <si>
    <r>
      <rPr>
        <b/>
        <sz val="10"/>
        <color rgb="FFFFFFFF"/>
        <rFont val="Arial Narrow"/>
        <family val="2"/>
      </rPr>
      <t xml:space="preserve">PARÁ                                                                                                                       </t>
    </r>
    <r>
      <rPr>
        <vertAlign val="superscript"/>
        <sz val="10"/>
        <color rgb="FFFFFFFF"/>
        <rFont val="Arial Narrow"/>
        <family val="2"/>
      </rPr>
      <t xml:space="preserve">VIGÊNCIA A PARTIR DE   </t>
    </r>
    <r>
      <rPr>
        <sz val="10"/>
        <color rgb="FFFFFFFF"/>
        <rFont val="Arial Narrow"/>
        <family val="2"/>
      </rPr>
      <t>01/2020</t>
    </r>
  </si>
  <si>
    <r>
      <rPr>
        <b/>
        <sz val="10"/>
        <color rgb="FFFFFFFF"/>
        <rFont val="Arial Narrow"/>
        <family val="2"/>
      </rPr>
      <t>ENCARGOS   SOCIAIS   SOBRE   A   MÃO   DE   OBRA</t>
    </r>
  </si>
  <si>
    <t>CÓDIGO</t>
  </si>
  <si>
    <t>DESCRIÇÃO</t>
  </si>
  <si>
    <r>
      <rPr>
        <b/>
        <sz val="10"/>
        <color rgb="FFFFFFFF"/>
        <rFont val="Arial Narrow"/>
        <family val="2"/>
      </rPr>
      <t>COM DESONERAÇÃO</t>
    </r>
  </si>
  <si>
    <r>
      <rPr>
        <b/>
        <sz val="10"/>
        <color rgb="FFFFFFFF"/>
        <rFont val="Arial Narrow"/>
        <family val="2"/>
      </rPr>
      <t>SEM DESONERAÇÃO</t>
    </r>
  </si>
  <si>
    <r>
      <rPr>
        <b/>
        <sz val="10"/>
        <rFont val="Arial Narrow"/>
        <family val="2"/>
      </rPr>
      <t>HORISTA
%</t>
    </r>
  </si>
  <si>
    <r>
      <rPr>
        <b/>
        <sz val="10"/>
        <rFont val="Arial Narrow"/>
        <family val="2"/>
      </rPr>
      <t>MENSALISTA
%</t>
    </r>
  </si>
  <si>
    <r>
      <rPr>
        <b/>
        <sz val="10"/>
        <color rgb="FFFFFFFF"/>
        <rFont val="Arial Narrow"/>
        <family val="2"/>
      </rPr>
      <t>GRUPO A</t>
    </r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</si>
  <si>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</si>
  <si>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</si>
  <si>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</si>
  <si>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</si>
  <si>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</si>
  <si>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</si>
  <si>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</si>
  <si>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</si>
  <si>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</si>
  <si>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</si>
  <si>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</si>
  <si>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</si>
  <si>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</si>
  <si>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</si>
  <si>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</si>
  <si>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</si>
  <si>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</si>
  <si>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</si>
  <si>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</si>
  <si>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r>
      <rPr>
        <b/>
        <sz val="10"/>
        <color rgb="FFFFFFFF"/>
        <rFont val="Arial Narrow"/>
        <family val="2"/>
      </rPr>
      <t>GRUPO B</t>
    </r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</si>
  <si>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</si>
  <si>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</si>
  <si>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</si>
  <si>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</si>
  <si>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</si>
  <si>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</si>
  <si>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</si>
  <si>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</si>
  <si>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</si>
  <si>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</si>
  <si>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</si>
  <si>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</si>
  <si>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</si>
  <si>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</si>
  <si>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</si>
  <si>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</si>
  <si>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</si>
  <si>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</si>
  <si>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</si>
  <si>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</si>
  <si>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</si>
  <si>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</si>
  <si>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r>
      <rPr>
        <b/>
        <sz val="10"/>
        <color rgb="FFFFFFFF"/>
        <rFont val="Arial Narrow"/>
        <family val="2"/>
      </rPr>
      <t>GRUPO C</t>
    </r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</si>
  <si>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</si>
  <si>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</si>
  <si>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</si>
  <si>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</si>
  <si>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</si>
  <si>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</si>
  <si>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</si>
  <si>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</si>
  <si>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</si>
  <si>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</si>
  <si>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</si>
  <si>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r>
      <rPr>
        <b/>
        <sz val="10"/>
        <color rgb="FFFFFFFF"/>
        <rFont val="Arial Narrow"/>
        <family val="2"/>
      </rPr>
      <t>GRUPO D</t>
    </r>
  </si>
  <si>
    <t>D1</t>
  </si>
  <si>
    <t>Reincidência de Grupo A sobre Grupo B</t>
  </si>
  <si>
    <t>D2</t>
  </si>
  <si>
    <r>
      <rPr>
        <sz val="10"/>
        <rFont val="Arial Narrow"/>
        <family val="2"/>
      </rPr>
      <t>Reincidência de Grupo A sobre Aviso Prévio Trabalhado e Reincidência do FGTS sobre Aviso
Prévio Indenizado</t>
    </r>
  </si>
  <si>
    <t>D</t>
  </si>
  <si>
    <r>
      <rPr>
        <b/>
        <sz val="10"/>
        <color rgb="FFFFFFFF"/>
        <rFont val="Arial Narrow"/>
        <family val="2"/>
      </rPr>
      <t>TOTAL(A+B+C+D)</t>
    </r>
  </si>
  <si>
    <t>Fonte: Informação Dias de Chuva – INMET</t>
  </si>
  <si>
    <t>ÍNDICE</t>
  </si>
  <si>
    <t>C.P.U.</t>
  </si>
  <si>
    <t>CRONOGRAMA FÍSICO-FINANCEIRO</t>
  </si>
  <si>
    <t>COMPOSIÇÃO DO BDI</t>
  </si>
  <si>
    <t>PLANILHA DE ENCARGOS SOCIAIS</t>
  </si>
  <si>
    <t>MEMORIAL DESCRITIVO E ESPECIFICAÇÕES TÉCNICAS</t>
  </si>
  <si>
    <t>PROJETOS</t>
  </si>
  <si>
    <t>Quadro de Composição do BDI</t>
  </si>
  <si>
    <t>Grau de Sigilo</t>
  </si>
  <si>
    <t>#PUBLICO</t>
  </si>
  <si>
    <t>Nº OPERAÇÃO</t>
  </si>
  <si>
    <t>Nº SICONV</t>
  </si>
  <si>
    <t>PROPONENTE / TOMADOR</t>
  </si>
  <si>
    <t>APELIDO DO EMPREENDIMENTO / DESCRIÇÃO DO LOTE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</si>
  <si>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</si>
  <si>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</si>
  <si>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</si>
  <si>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</si>
  <si>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Construção e Reforma de Edifícios</t>
  </si>
  <si>
    <t>Itens</t>
  </si>
  <si>
    <t>Siglas</t>
  </si>
  <si>
    <t>% Adotado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</si>
  <si>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</si>
  <si>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</si>
  <si>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</si>
  <si>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</si>
  <si>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</si>
  <si>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</si>
  <si>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</si>
  <si>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</si>
  <si>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</si>
  <si>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</si>
  <si>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</si>
  <si>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</si>
  <si>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</si>
  <si>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</si>
  <si>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</si>
  <si>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</si>
  <si>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</si>
  <si>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</si>
  <si>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</si>
  <si>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</si>
  <si>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/>
  </si>
  <si>
    <t>Os valores de BDI foram calculados com o emprego da fórmula:</t>
  </si>
  <si>
    <t>BDI =</t>
  </si>
  <si>
    <t>(1+AC + S + R + G)*(1 + DF)*(1+L)</t>
  </si>
  <si>
    <t xml:space="preserve"> - 1</t>
  </si>
  <si>
    <t>(1-CP-ISS-CRPB)</t>
  </si>
  <si>
    <t>Declaro para os devidos fins que, conforme legislação tributária municipal, a base de cálculo deste tipo de obra corresponde à 50%, com a respectiva alíquota de 5%.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</si>
  <si>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</si>
  <si>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Observações:</t>
  </si>
  <si>
    <t>Santarém/PA</t>
  </si>
  <si>
    <t>Local</t>
  </si>
  <si>
    <t>Data</t>
  </si>
  <si>
    <t>Responsável Técnico</t>
  </si>
  <si>
    <t>Nome:</t>
  </si>
  <si>
    <t>CREA/CAU:</t>
  </si>
  <si>
    <r>
      <t xml:space="preserve">Objeto: </t>
    </r>
    <r>
      <rPr>
        <b/>
        <sz val="10"/>
        <color theme="1"/>
        <rFont val="Arial Narrow"/>
        <family val="2"/>
      </rPr>
      <t>CONSTRUÇÃO DE UNIDADE BÁSICA DE SAÚDE NO BAIRRO MATINHA, NO MUNICÍPIO DE SANTARÉM</t>
    </r>
  </si>
  <si>
    <t>COMPOSIÇÃO PRÓPRIA UNITÁRIA</t>
  </si>
  <si>
    <t>Und</t>
  </si>
  <si>
    <t>Valor Unit</t>
  </si>
  <si>
    <t>Composição</t>
  </si>
  <si>
    <t>Composição Auxiliar</t>
  </si>
  <si>
    <t>ENGENHEIRO CIVIL DE OBRA JUNIOR COM ENCARGOS COMPLEMENTARES</t>
  </si>
  <si>
    <t>H</t>
  </si>
  <si>
    <t>ENCARREGADO GERAL COM ENCARGOS COMPLEMENTARES</t>
  </si>
  <si>
    <t>Insumo</t>
  </si>
  <si>
    <t>SERVENTE COM ENCARGOS COMPLEMENTARES</t>
  </si>
  <si>
    <t>AUXILIAR DE ELETRICISTA COM ENCARGOS COMPLEMENTARES</t>
  </si>
  <si>
    <t>ELETRICISTA COM ENCARGOS COMPLEMENTARES</t>
  </si>
  <si>
    <t>CP003</t>
  </si>
  <si>
    <t>TERMINAL A COMPRESSAO EM COBRE ESTANHADO PARA CABO 50 MM2, 1 FURO E 1 COMPRESSAO, PARA PARAFUSO DE FIXACAO M8</t>
  </si>
  <si>
    <t>DISPOSITIVO DPS CLASSE II, 1 POLO, TENSAO MAXIMA DE 275 V, CORRENTE MAXIMA DE *45* KA (TIPO AC)</t>
  </si>
  <si>
    <t>AUXILIAR DE ENCANADOR OU BOMBEIRO HIDRÁULICO COM ENCARGOS COMPLEMENTARES</t>
  </si>
  <si>
    <t>ENCANADOR OU BOMBEIRO HIDRÁULICO COM ENCARGOS COMPLEMENTARES</t>
  </si>
  <si>
    <t>ADESIVO PLASTICO PARA PVC, FRASCO COM *850* GR</t>
  </si>
  <si>
    <t>BUCHA DE REDUCAO DE PVC, SOLDAVEL, CURTA, COM 25 X 20 MM, PARA AGUA FRIA PREDIAL</t>
  </si>
  <si>
    <t>SOLUCAO PREPARADORA / LIMPADORA PARA PVC, FRASCO COM 1000 CM3</t>
  </si>
  <si>
    <t>LIXA D'AGUA EM FOLHA, GRAO 100</t>
  </si>
  <si>
    <t>BUCHA DE REDUCAO DE PVC, SOLDAVEL, CURTA, COM 32 X 25 MM, PARA AGUA FRIA PREDIAL</t>
  </si>
  <si>
    <t>JOELHO PVC, SOLDAVEL, COM BUCHA DE LATAO, 90 GRAUS, 20 MM X 1/2", PARA AGUA FRIA PREDIAL</t>
  </si>
  <si>
    <t>ADESIVO PLASTICO PARA PVC, FRASCO COM 175 GR</t>
  </si>
  <si>
    <t>Total Por Etapa</t>
  </si>
  <si>
    <t>Total:</t>
  </si>
  <si>
    <t>Custo</t>
  </si>
  <si>
    <t>% Acumul.</t>
  </si>
  <si>
    <t>Custo Acumul.</t>
  </si>
  <si>
    <t>OBJETO: CONSTRUÇÃO DE CENTRO DE SAÚDE NA COMUNIDADE SÃO CIRÍACO NA REGIÃO DE VÁRZEA DO MUNICÍPIO DE SANTARÉM</t>
  </si>
  <si>
    <t>CP116</t>
  </si>
  <si>
    <t>3.3</t>
  </si>
  <si>
    <t>VIGA *7,5 X 15 CM EM PINUS, MISTA OU EQUIVALENTE DA REGIAO - BRUTA</t>
  </si>
  <si>
    <t>CP117</t>
  </si>
  <si>
    <t>8.6</t>
  </si>
  <si>
    <t>8.6.1</t>
  </si>
  <si>
    <t>8.6.2</t>
  </si>
  <si>
    <t>FOSSA E SUMIDOURO</t>
  </si>
  <si>
    <t>Sumidouro em alvenaria c/ tpo.em concreto - cap= 30 pessoas</t>
  </si>
  <si>
    <t>Fossa septica em concreto armado - cap= 30 pessoas</t>
  </si>
  <si>
    <t>ESCADA/DEGRAUS MADEIRA</t>
  </si>
  <si>
    <t>ADMINISTRAÇÃO LOCAL DA OBRA</t>
  </si>
  <si>
    <t>CP118</t>
  </si>
  <si>
    <t>CP079</t>
  </si>
  <si>
    <t>JUSTIFICATIVA TÉCNICA</t>
  </si>
  <si>
    <t>Placa de obra em lona com plotagem de gráfica</t>
  </si>
  <si>
    <t xml:space="preserve"> 1.1 </t>
  </si>
  <si>
    <t xml:space="preserve"> 90776 </t>
  </si>
  <si>
    <t xml:space="preserve"> 90777 </t>
  </si>
  <si>
    <t xml:space="preserve"> 3.2 </t>
  </si>
  <si>
    <t xml:space="preserve"> 88261 </t>
  </si>
  <si>
    <t>CARPINTEIRO DE ESQUADRIA COM ENCARGOS COMPLEMENTARES</t>
  </si>
  <si>
    <t xml:space="preserve"> 88316 </t>
  </si>
  <si>
    <t xml:space="preserve"> 3.3 </t>
  </si>
  <si>
    <t xml:space="preserve"> 88239 </t>
  </si>
  <si>
    <t>AJUDANTE DE CARPINTEIRO COM ENCARGOS COMPLEMENTARES</t>
  </si>
  <si>
    <t xml:space="preserve"> 00004448 </t>
  </si>
  <si>
    <t xml:space="preserve"> 00003990 </t>
  </si>
  <si>
    <t>TABUA APARELHADA *2,5 X 25* CM, EM MACARANDUBA, ANGELIM OU EQUIVALENTE DA REGIAO</t>
  </si>
  <si>
    <t xml:space="preserve"> 00004491 </t>
  </si>
  <si>
    <t>PONTALETE *7,5 X 7,5* CM EM PINUS, MISTA OU EQUIVALENTE DA REGIAO - BRUTA</t>
  </si>
  <si>
    <t xml:space="preserve"> 00005067 </t>
  </si>
  <si>
    <t>PREGO DE ACO POLIDO COM CABECA 16 X 24 (2 1/4 X 12)</t>
  </si>
  <si>
    <t>KG</t>
  </si>
  <si>
    <t xml:space="preserve"> 00004509 </t>
  </si>
  <si>
    <t>SARRAFO *2,5 X 10* CM EM PINUS, MISTA OU EQUIVALENTE DA REGIAO - BRUTA</t>
  </si>
  <si>
    <t xml:space="preserve"> 8.1.7 </t>
  </si>
  <si>
    <t xml:space="preserve"> 88274 </t>
  </si>
  <si>
    <t>MARMORISTA/GRANITEIRO COM ENCARGOS COMPLEMENTARES</t>
  </si>
  <si>
    <t xml:space="preserve"> 00037412 </t>
  </si>
  <si>
    <t>BANCADA/BANCA/PIA DE ACO INOXIDAVEL (AISI 430) COM 1 CUBA CENTRAL, COM VALVULA, LISA (SEM ESCORREDOR), DE *0,55 X 1,20* M</t>
  </si>
  <si>
    <t xml:space="preserve"> 00004823 </t>
  </si>
  <si>
    <t>MASSA PLASTICA PARA MARMORE/GRANITO</t>
  </si>
  <si>
    <t xml:space="preserve"> 00007568 </t>
  </si>
  <si>
    <t>BUCHA DE NYLON SEM ABA S10, COM PARAFUSO DE 6,10 X 65 MM EM ACO ZINCADO COM ROSCA SOBERBA, CABECA CHATA E FENDA PHILLIPS</t>
  </si>
  <si>
    <t xml:space="preserve"> 00037329 </t>
  </si>
  <si>
    <t>REJUNTE EPOXI, QUALQUER COR</t>
  </si>
  <si>
    <t xml:space="preserve"> 00037590 </t>
  </si>
  <si>
    <t>SUPORTE MAO-FRANCESA EM ACO, ABAS IGUAIS 30 CM, CAPACIDADE MINIMA 60 KG, BRANCO</t>
  </si>
  <si>
    <t xml:space="preserve"> 8.1.11 </t>
  </si>
  <si>
    <t xml:space="preserve"> 88248 </t>
  </si>
  <si>
    <t xml:space="preserve"> 88267 </t>
  </si>
  <si>
    <t xml:space="preserve"> 00000067 </t>
  </si>
  <si>
    <t>ADAPTADOR PVC ROSCAVEL, COM FLANGES E ANEL DE VEDACAO, 1/2", PARA CAIXA D' AGUA</t>
  </si>
  <si>
    <t xml:space="preserve"> 00000119 </t>
  </si>
  <si>
    <t>ADESIVO PLASTICO PARA PVC, BISNAGA COM 75 GR</t>
  </si>
  <si>
    <t xml:space="preserve"> 00003146 </t>
  </si>
  <si>
    <t>FITA VEDA ROSCA EM ROLOS DE 18 MM X 10 M (L X C)</t>
  </si>
  <si>
    <t xml:space="preserve"> 00003536 </t>
  </si>
  <si>
    <t>JOELHO PVC, SOLDAVEL, 90 GRAUS, 32 MM, PARA AGUA FRIA PREDIAL</t>
  </si>
  <si>
    <t xml:space="preserve"> 00007140 </t>
  </si>
  <si>
    <t>TE SOLDAVEL, PVC, 90 GRAUS, 32 MM, PARA AGUA FRIA PREDIAL (NBR 5648)</t>
  </si>
  <si>
    <t xml:space="preserve"> 00009868 </t>
  </si>
  <si>
    <t>TUBO PVC, SOLDAVEL, DN 25 MM, AGUA FRIA (NBR-5648)</t>
  </si>
  <si>
    <t xml:space="preserve"> 00009869 </t>
  </si>
  <si>
    <t>TUBO PVC, SOLDAVEL, DN 32 MM, AGUA FRIA (NBR-5648)</t>
  </si>
  <si>
    <t xml:space="preserve"> 00011675 </t>
  </si>
  <si>
    <t>REGISTRO DE ESFERA, PVC, COM VOLANTE, VS, SOLDAVEL, DN 32 MM, COM CORPO DIVIDIDO</t>
  </si>
  <si>
    <t xml:space="preserve"> 00011829 </t>
  </si>
  <si>
    <t>TORNEIRA DE BOIA CONVENCIONAL PARA CAIXA D'AGUA, AGUA FRIA, 1/2", COM HASTE E TORNEIRA METALICOS E BALAO PLASTICO</t>
  </si>
  <si>
    <t xml:space="preserve"> 00034640 </t>
  </si>
  <si>
    <t>CAIXA D'AGUA EM POLIETILENO 2000 LITROS, COM TAMPA</t>
  </si>
  <si>
    <t xml:space="preserve"> 8.2.1 </t>
  </si>
  <si>
    <t xml:space="preserve"> 00000122 </t>
  </si>
  <si>
    <t xml:space="preserve"> 00000828 </t>
  </si>
  <si>
    <t xml:space="preserve"> 00020083 </t>
  </si>
  <si>
    <t xml:space="preserve"> 00038383 </t>
  </si>
  <si>
    <t xml:space="preserve"> 8.2.2 </t>
  </si>
  <si>
    <t xml:space="preserve"> 00000829 </t>
  </si>
  <si>
    <t xml:space="preserve"> 8.2.12 </t>
  </si>
  <si>
    <t xml:space="preserve"> 00003515 </t>
  </si>
  <si>
    <t xml:space="preserve"> 8.3.1 </t>
  </si>
  <si>
    <t xml:space="preserve"> 00001200 </t>
  </si>
  <si>
    <t xml:space="preserve"> 00020080 </t>
  </si>
  <si>
    <t xml:space="preserve"> 9.1.5 </t>
  </si>
  <si>
    <t xml:space="preserve"> 88247 </t>
  </si>
  <si>
    <t xml:space="preserve"> 88264 </t>
  </si>
  <si>
    <t xml:space="preserve"> 00001578 </t>
  </si>
  <si>
    <t xml:space="preserve"> 00039471 </t>
  </si>
  <si>
    <t xml:space="preserve"> 9.1.6 </t>
  </si>
  <si>
    <t xml:space="preserve"> 00039446 </t>
  </si>
  <si>
    <t>DISPOSITIVO DR, 2 POLOS, SENSIBILIDADE DE 30 MA, CORRENTE DE 40 A, TIPO AC</t>
  </si>
  <si>
    <t xml:space="preserve"> 9.3.1 </t>
  </si>
  <si>
    <t xml:space="preserve"> 00012266 </t>
  </si>
  <si>
    <t>LUMINARIA SPOT DE SOBREPOR EM ALUMINIO COM ALETA PLASTICA PARA 1 LAMPADA, BASE E27, POTENCIA MAXIMA 40/60 W (NAO INCLUI LAMPADA)</t>
  </si>
  <si>
    <t xml:space="preserve"> 00039386 </t>
  </si>
  <si>
    <t>LAMPADA LED TUBULAR BIVOLT 9/10 W, BASE G13</t>
  </si>
  <si>
    <t xml:space="preserve"> 9.3.2 </t>
  </si>
  <si>
    <t xml:space="preserve"> 00039387 </t>
  </si>
  <si>
    <t>LAMPADA LED TUBULAR BIVOLT 18/20 W, BASE G13</t>
  </si>
  <si>
    <t xml:space="preserve"> 9.5.4 </t>
  </si>
  <si>
    <t xml:space="preserve"> E00547 </t>
  </si>
  <si>
    <t>TELHAMENTO COM TELHA DE AÇO/ALUMÍNIO E = 0,5 MM, COM ATÉ 2 ÁGUAS, INCLUSO IÇAMENTO. AF_07/2019</t>
  </si>
  <si>
    <t>Fundação</t>
  </si>
  <si>
    <t>PILAR QUADRADO NAO APARELHADO *15 X 15* CM, EM MACARANDUBA, ANGELIM OU EQUIVALENTE DA REGIAO - BRUTA</t>
  </si>
  <si>
    <t>PILAR QUADRADO 15 X 15 CM</t>
  </si>
  <si>
    <t>11.2</t>
  </si>
  <si>
    <t>Guarda-corpo em mad. lei envernizado h=1,0m</t>
  </si>
  <si>
    <t>PINTURA TINTA DE ACABAMENTO (PIGMENTADA) ESMALTE SINTÉTICO BRILHANTE EM MADEIRA, 2 DEMÃOS. AF_01/2021</t>
  </si>
  <si>
    <t>3.4</t>
  </si>
  <si>
    <t>Imunização para madeira</t>
  </si>
  <si>
    <t>Viga</t>
  </si>
  <si>
    <t xml:space="preserve"> 3.1 </t>
  </si>
  <si>
    <t xml:space="preserve"> 00035275 </t>
  </si>
  <si>
    <t>DEZEMBRO/2021</t>
  </si>
  <si>
    <t>JUSTIFICATIVA TÉCNICA Nº 036/2021</t>
  </si>
  <si>
    <t>OK</t>
  </si>
  <si>
    <t>ok</t>
  </si>
  <si>
    <t>Eletrocalha de metal curve "U"perf. 50x50 x30000</t>
  </si>
  <si>
    <t>Relatório de itens não importados</t>
  </si>
  <si>
    <t>Linha</t>
  </si>
  <si>
    <t>Valor Sem BDI</t>
  </si>
  <si>
    <t>Valor Com BDI</t>
  </si>
  <si>
    <t>Barracão de madeira (incl. instalações)</t>
  </si>
  <si>
    <t>BUCHA DE REDUÇÃO, PVC, SOLDÁVEL, DN 40MM X 32MM, INSTALADO EM RAMAL DE DISTRIBUIÇÃO DE ÁGUA - FORNECIMENTO E INSTALAÇÃO. AF_06/2022</t>
  </si>
  <si>
    <t>Centro de distribuição metálico de embutir p/ 16 disjuntores (c/barramento)</t>
  </si>
  <si>
    <t>Mobilização e Desmobilização de Pessoal e Equipamentos Comunidades de Rios</t>
  </si>
  <si>
    <t xml:space="preserve"> CSC-017 </t>
  </si>
  <si>
    <t>SINAPI 06/2024 Desonerado</t>
  </si>
  <si>
    <t>SEDOP 05/2024</t>
  </si>
  <si>
    <t xml:space="preserve"> 00000097 </t>
  </si>
  <si>
    <t>ADAPTADOR PVC SOLDAVEL, COM FLANGE E ANEL DE VEDACAO, 32 MM X 1", PARA CAIXA D'AGUA</t>
  </si>
  <si>
    <t xml:space="preserve"> 00000096 </t>
  </si>
  <si>
    <t>ADAPTADOR PVC SOLDAVEL, COM FLANGE E ANEL DE VEDACAO, 25 MM X 3/4", PARA CAIXA D'AGUA</t>
  </si>
  <si>
    <t>Secretaria Municipal de Infraestrutura</t>
  </si>
  <si>
    <t>CNPJ: 05.182.233/0007-61</t>
  </si>
  <si>
    <t xml:space="preserve">Av. Barão do Rio Branco, S/N - Bairro: Aeroporto Velho - CEP: 68.005-310 - Santarém/PA </t>
  </si>
  <si>
    <t>Paulo Mateus Silva Repolho</t>
  </si>
  <si>
    <t>Engenheiro Civil - SEMINFRA</t>
  </si>
  <si>
    <t>Comissão de Divisão de Topografia</t>
  </si>
  <si>
    <t>1522367381PA</t>
  </si>
  <si>
    <t xml:space="preserve"> CSC-001 </t>
  </si>
  <si>
    <t xml:space="preserve"> CSC-002 </t>
  </si>
  <si>
    <t xml:space="preserve"> CSC-003 </t>
  </si>
  <si>
    <t xml:space="preserve"> CSC-004 </t>
  </si>
  <si>
    <t xml:space="preserve"> CSC-005 </t>
  </si>
  <si>
    <t xml:space="preserve"> CSC-006 </t>
  </si>
  <si>
    <t xml:space="preserve"> CSC-007 </t>
  </si>
  <si>
    <t xml:space="preserve"> CSC-008 </t>
  </si>
  <si>
    <t xml:space="preserve"> CSC-009 </t>
  </si>
  <si>
    <t xml:space="preserve"> CSC-010 </t>
  </si>
  <si>
    <t xml:space="preserve"> CSC-011 </t>
  </si>
  <si>
    <t xml:space="preserve"> CSC-012 </t>
  </si>
  <si>
    <t xml:space="preserve"> CSC-013 </t>
  </si>
  <si>
    <t xml:space="preserve"> CSC-014 </t>
  </si>
  <si>
    <t xml:space="preserve"> CSC-015 </t>
  </si>
  <si>
    <t>SICRO 3</t>
  </si>
  <si>
    <t>Transporte fluvial de materiais diversos com pontão flutuante - capacidade de 500 t</t>
  </si>
  <si>
    <t>KM</t>
  </si>
  <si>
    <t>OBJETO: CONSTRUÇÃO DE UNIDADE BÁSICA DE SAÚDE (UBS) PIRACAOERA - MODELO MUNICIPAL</t>
  </si>
  <si>
    <t>Construção de Centro de Saúde na Comunidade Piracaoera na Região de Várzea do Município de Santarém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</si>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</sst>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#,##0.0000000"/>
    <numFmt numFmtId="169" formatCode="_-* #,##0.0000_-;\-* #,##0.0000_-;_-* &quot;-&quot;??_-;_-@_-"/>
    <numFmt numFmtId="170" formatCode="0.000%"/>
    <numFmt numFmtId="171" formatCode="_-* #,##0.000_-;\-* #,##0.000_-;_-* &quot;-&quot;??_-;_-@_-"/>
    <numFmt numFmtId="172" formatCode="0.0%"/>
    <numFmt numFmtId="173" formatCode="#,##0.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Arial"/>
      <family val="1"/>
    </font>
    <font>
      <b/>
      <sz val="10"/>
      <color theme="1"/>
      <name val="Arial Narrow"/>
      <family val="2"/>
    </font>
    <font>
      <sz val="8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vertAlign val="superscript"/>
      <sz val="10"/>
      <color rgb="FFFFFFFF"/>
      <name val="Arial Narrow"/>
      <family val="2"/>
    </font>
    <font>
      <sz val="10"/>
      <color rgb="FFFFFFFF"/>
      <name val="Arial Narrow"/>
      <family val="2"/>
    </font>
    <font>
      <b/>
      <sz val="10"/>
      <color rgb="FF000000"/>
      <name val="Arial Narrow"/>
      <family val="2"/>
    </font>
    <font>
      <b/>
      <sz val="18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name val="Arial Narrow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  <font>
      <i/>
      <sz val="10"/>
      <name val="Arial Narrow"/>
      <family val="2"/>
    </font>
    <font>
      <i/>
      <u/>
      <sz val="10"/>
      <name val="Arial Narrow"/>
      <family val="2"/>
    </font>
    <font>
      <u/>
      <sz val="10"/>
      <name val="Arial Narrow"/>
      <family val="2"/>
    </font>
    <font>
      <b/>
      <sz val="11"/>
      <name val="Calibri"/>
      <family val="2"/>
    </font>
    <font>
      <b/>
      <sz val="9"/>
      <name val="Microsoft Sans Serif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</patternFill>
    </fill>
    <fill>
      <patternFill patternType="solid">
        <fgColor rgb="FF548CD4"/>
      </patternFill>
    </fill>
    <fill>
      <patternFill patternType="solid">
        <fgColor rgb="FFB8CCE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3" tint="0.79998168889431442"/>
        <bgColor indexed="44"/>
      </patternFill>
    </fill>
    <fill>
      <patternFill patternType="solid">
        <fgColor rgb="FFFFFFFF"/>
      </patternFill>
    </fill>
    <fill>
      <patternFill patternType="solid">
        <fgColor rgb="FFD6DBE4"/>
      </patternFill>
    </fill>
  </fills>
  <borders count="9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BA0CD"/>
      </left>
      <right/>
      <top style="thin">
        <color rgb="FF7BA0CD"/>
      </top>
      <bottom style="thin">
        <color rgb="FF7BA0CD"/>
      </bottom>
      <diagonal/>
    </border>
    <border>
      <left/>
      <right/>
      <top style="thin">
        <color rgb="FF7BA0CD"/>
      </top>
      <bottom style="thin">
        <color rgb="FF7BA0CD"/>
      </bottom>
      <diagonal/>
    </border>
    <border>
      <left/>
      <right style="thin">
        <color rgb="FF7BA0CD"/>
      </right>
      <top style="thin">
        <color rgb="FF7BA0CD"/>
      </top>
      <bottom style="thin">
        <color rgb="FF7BA0CD"/>
      </bottom>
      <diagonal/>
    </border>
    <border>
      <left style="thin">
        <color rgb="FF7BA0CD"/>
      </left>
      <right style="thin">
        <color rgb="FF7BA0CD"/>
      </right>
      <top style="thin">
        <color rgb="FF7BA0CD"/>
      </top>
      <bottom/>
      <diagonal/>
    </border>
    <border>
      <left style="thin">
        <color rgb="FF7BA0CD"/>
      </left>
      <right style="thin">
        <color rgb="FF7BA0CD"/>
      </right>
      <top/>
      <bottom style="thin">
        <color rgb="FF7BA0CD"/>
      </bottom>
      <diagonal/>
    </border>
    <border>
      <left style="thin">
        <color rgb="FF7BA0CD"/>
      </left>
      <right style="thin">
        <color rgb="FF7BA0CD"/>
      </right>
      <top style="thin">
        <color rgb="FF7BA0CD"/>
      </top>
      <bottom style="thin">
        <color rgb="FF7BA0CD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23" fillId="0" borderId="0"/>
    <xf numFmtId="164" fontId="12" fillId="0" borderId="0" applyFill="0" applyBorder="0" applyAlignment="0" applyProtection="0"/>
    <xf numFmtId="9" fontId="1" fillId="0" borderId="0" applyFont="0" applyFill="0" applyBorder="0" applyAlignment="0" applyProtection="0"/>
  </cellStyleXfs>
  <cellXfs count="500">
    <xf numFmtId="0" fontId="0" fillId="0" borderId="0" xfId="0"/>
    <xf numFmtId="0" fontId="2" fillId="2" borderId="8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2" fillId="3" borderId="27" xfId="3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 wrapText="1"/>
    </xf>
    <xf numFmtId="0" fontId="2" fillId="3" borderId="1" xfId="3" applyFont="1" applyFill="1" applyBorder="1" applyAlignment="1">
      <alignment horizontal="center" vertical="center"/>
    </xf>
    <xf numFmtId="43" fontId="2" fillId="3" borderId="1" xfId="3" applyNumberFormat="1" applyFont="1" applyFill="1" applyBorder="1" applyAlignment="1">
      <alignment horizontal="center" vertical="center"/>
    </xf>
    <xf numFmtId="43" fontId="2" fillId="3" borderId="12" xfId="3" applyNumberFormat="1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vertical="center" wrapText="1"/>
    </xf>
    <xf numFmtId="0" fontId="2" fillId="2" borderId="20" xfId="3" applyFont="1" applyFill="1" applyBorder="1" applyAlignment="1">
      <alignment vertical="center"/>
    </xf>
    <xf numFmtId="0" fontId="2" fillId="2" borderId="21" xfId="3" applyFont="1" applyFill="1" applyBorder="1" applyAlignment="1">
      <alignment vertical="center"/>
    </xf>
    <xf numFmtId="0" fontId="4" fillId="4" borderId="25" xfId="3" applyFont="1" applyFill="1" applyBorder="1" applyAlignment="1">
      <alignment horizontal="center" vertical="center"/>
    </xf>
    <xf numFmtId="0" fontId="4" fillId="4" borderId="26" xfId="3" applyFont="1" applyFill="1" applyBorder="1" applyAlignment="1">
      <alignment horizontal="left" vertical="center" wrapText="1"/>
    </xf>
    <xf numFmtId="0" fontId="4" fillId="4" borderId="26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vertical="center"/>
    </xf>
    <xf numFmtId="0" fontId="2" fillId="2" borderId="0" xfId="3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43" fontId="6" fillId="0" borderId="31" xfId="0" applyNumberFormat="1" applyFont="1" applyBorder="1" applyAlignment="1">
      <alignment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left" vertical="center" wrapText="1"/>
    </xf>
    <xf numFmtId="0" fontId="4" fillId="6" borderId="29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2" borderId="27" xfId="0" applyFont="1" applyFill="1" applyBorder="1"/>
    <xf numFmtId="0" fontId="2" fillId="2" borderId="10" xfId="0" applyFont="1" applyFill="1" applyBorder="1"/>
    <xf numFmtId="0" fontId="2" fillId="2" borderId="35" xfId="0" applyFont="1" applyFill="1" applyBorder="1"/>
    <xf numFmtId="0" fontId="2" fillId="0" borderId="27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/>
    </xf>
    <xf numFmtId="43" fontId="2" fillId="0" borderId="1" xfId="3" applyNumberFormat="1" applyFont="1" applyFill="1" applyBorder="1" applyAlignment="1">
      <alignment horizontal="center" vertical="center"/>
    </xf>
    <xf numFmtId="43" fontId="2" fillId="0" borderId="12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right" vertical="center" wrapText="1"/>
    </xf>
    <xf numFmtId="0" fontId="2" fillId="0" borderId="27" xfId="3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right" vertical="center" wrapText="1"/>
    </xf>
    <xf numFmtId="0" fontId="2" fillId="0" borderId="1" xfId="3" applyNumberFormat="1" applyFont="1" applyFill="1" applyBorder="1" applyAlignment="1">
      <alignment horizontal="center" vertical="center"/>
    </xf>
    <xf numFmtId="0" fontId="2" fillId="0" borderId="12" xfId="3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37" xfId="3" applyFont="1" applyBorder="1" applyAlignment="1">
      <alignment horizontal="center" vertical="center" wrapText="1"/>
    </xf>
    <xf numFmtId="0" fontId="2" fillId="3" borderId="11" xfId="3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43" fontId="4" fillId="5" borderId="1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3" fontId="4" fillId="6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3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3" fontId="2" fillId="0" borderId="1" xfId="3" applyNumberFormat="1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center" vertical="center"/>
    </xf>
    <xf numFmtId="0" fontId="10" fillId="0" borderId="0" xfId="5" applyFont="1" applyAlignment="1">
      <alignment vertical="center"/>
    </xf>
    <xf numFmtId="0" fontId="7" fillId="7" borderId="8" xfId="7" applyFont="1" applyFill="1" applyBorder="1" applyAlignment="1">
      <alignment vertical="center"/>
    </xf>
    <xf numFmtId="0" fontId="7" fillId="7" borderId="0" xfId="7" applyFont="1" applyFill="1" applyAlignment="1">
      <alignment vertical="center"/>
    </xf>
    <xf numFmtId="0" fontId="7" fillId="7" borderId="9" xfId="7" applyFont="1" applyFill="1" applyBorder="1" applyAlignment="1">
      <alignment vertical="center"/>
    </xf>
    <xf numFmtId="0" fontId="2" fillId="0" borderId="0" xfId="5" applyFont="1" applyAlignment="1">
      <alignment vertical="center"/>
    </xf>
    <xf numFmtId="0" fontId="6" fillId="7" borderId="0" xfId="7" applyFont="1" applyFill="1" applyAlignment="1">
      <alignment horizontal="center" vertical="center"/>
    </xf>
    <xf numFmtId="0" fontId="6" fillId="7" borderId="0" xfId="7" applyFont="1" applyFill="1" applyAlignment="1">
      <alignment vertical="center"/>
    </xf>
    <xf numFmtId="0" fontId="7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2" fillId="2" borderId="16" xfId="5" applyFont="1" applyFill="1" applyBorder="1" applyAlignment="1">
      <alignment vertical="center"/>
    </xf>
    <xf numFmtId="0" fontId="2" fillId="2" borderId="20" xfId="5" applyFont="1" applyFill="1" applyBorder="1" applyAlignment="1">
      <alignment vertical="center"/>
    </xf>
    <xf numFmtId="0" fontId="2" fillId="2" borderId="21" xfId="5" applyFont="1" applyFill="1" applyBorder="1" applyAlignment="1">
      <alignment vertical="center"/>
    </xf>
    <xf numFmtId="0" fontId="2" fillId="2" borderId="8" xfId="5" applyFont="1" applyFill="1" applyBorder="1" applyAlignment="1">
      <alignment vertical="center"/>
    </xf>
    <xf numFmtId="0" fontId="2" fillId="2" borderId="9" xfId="5" applyFont="1" applyFill="1" applyBorder="1" applyAlignment="1">
      <alignment vertical="center"/>
    </xf>
    <xf numFmtId="0" fontId="2" fillId="0" borderId="56" xfId="5" applyFont="1" applyBorder="1" applyAlignment="1">
      <alignment horizontal="center" vertical="center" wrapText="1"/>
    </xf>
    <xf numFmtId="0" fontId="7" fillId="0" borderId="56" xfId="5" applyFont="1" applyBorder="1" applyAlignment="1">
      <alignment horizontal="center" vertical="center" wrapText="1"/>
    </xf>
    <xf numFmtId="0" fontId="7" fillId="0" borderId="56" xfId="5" applyFont="1" applyBorder="1" applyAlignment="1">
      <alignment horizontal="left" vertical="center" wrapText="1"/>
    </xf>
    <xf numFmtId="10" fontId="15" fillId="0" borderId="56" xfId="5" applyNumberFormat="1" applyFont="1" applyBorder="1" applyAlignment="1">
      <alignment horizontal="center" vertical="center" shrinkToFit="1"/>
    </xf>
    <xf numFmtId="0" fontId="7" fillId="10" borderId="56" xfId="5" applyFont="1" applyFill="1" applyBorder="1" applyAlignment="1">
      <alignment horizontal="center" vertical="center" wrapText="1"/>
    </xf>
    <xf numFmtId="0" fontId="7" fillId="10" borderId="56" xfId="5" applyFont="1" applyFill="1" applyBorder="1" applyAlignment="1">
      <alignment horizontal="left" vertical="center" wrapText="1"/>
    </xf>
    <xf numFmtId="10" fontId="15" fillId="10" borderId="56" xfId="5" applyNumberFormat="1" applyFont="1" applyFill="1" applyBorder="1" applyAlignment="1">
      <alignment horizontal="center" vertical="center" shrinkToFit="1"/>
    </xf>
    <xf numFmtId="0" fontId="6" fillId="10" borderId="56" xfId="5" applyFont="1" applyFill="1" applyBorder="1" applyAlignment="1">
      <alignment horizontal="center" vertical="center" wrapText="1"/>
    </xf>
    <xf numFmtId="10" fontId="19" fillId="10" borderId="56" xfId="5" applyNumberFormat="1" applyFont="1" applyFill="1" applyBorder="1" applyAlignment="1">
      <alignment horizontal="center" vertical="center" shrinkToFit="1"/>
    </xf>
    <xf numFmtId="0" fontId="6" fillId="0" borderId="56" xfId="5" applyFont="1" applyBorder="1" applyAlignment="1">
      <alignment horizontal="center" vertical="center" wrapText="1"/>
    </xf>
    <xf numFmtId="10" fontId="19" fillId="0" borderId="56" xfId="5" applyNumberFormat="1" applyFont="1" applyBorder="1" applyAlignment="1">
      <alignment horizontal="center" vertical="center" shrinkToFit="1"/>
    </xf>
    <xf numFmtId="10" fontId="2" fillId="0" borderId="0" xfId="5" applyNumberFormat="1" applyFont="1" applyAlignment="1">
      <alignment vertical="center"/>
    </xf>
    <xf numFmtId="0" fontId="2" fillId="10" borderId="56" xfId="5" applyFont="1" applyFill="1" applyBorder="1" applyAlignment="1">
      <alignment horizontal="left" vertical="center" wrapText="1"/>
    </xf>
    <xf numFmtId="10" fontId="16" fillId="9" borderId="56" xfId="5" applyNumberFormat="1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vertical="center"/>
    </xf>
    <xf numFmtId="0" fontId="2" fillId="2" borderId="3" xfId="5" applyFont="1" applyFill="1" applyBorder="1" applyAlignment="1">
      <alignment vertical="center"/>
    </xf>
    <xf numFmtId="0" fontId="2" fillId="2" borderId="4" xfId="5" applyFont="1" applyFill="1" applyBorder="1" applyAlignment="1">
      <alignment vertical="center"/>
    </xf>
    <xf numFmtId="0" fontId="2" fillId="2" borderId="0" xfId="5" applyFont="1" applyFill="1" applyAlignment="1">
      <alignment vertical="center"/>
    </xf>
    <xf numFmtId="0" fontId="7" fillId="2" borderId="62" xfId="7" applyFont="1" applyFill="1" applyBorder="1" applyAlignment="1">
      <alignment horizontal="center" vertical="center"/>
    </xf>
    <xf numFmtId="0" fontId="7" fillId="2" borderId="62" xfId="7" applyFont="1" applyFill="1" applyBorder="1" applyAlignment="1">
      <alignment horizontal="center" vertical="center" wrapText="1"/>
    </xf>
    <xf numFmtId="0" fontId="6" fillId="2" borderId="64" xfId="7" applyFont="1" applyFill="1" applyBorder="1" applyAlignment="1">
      <alignment horizontal="left" vertical="center"/>
    </xf>
    <xf numFmtId="0" fontId="2" fillId="2" borderId="64" xfId="7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5" fillId="2" borderId="66" xfId="1" applyFont="1" applyFill="1" applyBorder="1" applyAlignment="1">
      <alignment horizontal="left" vertical="center" wrapText="1"/>
    </xf>
    <xf numFmtId="0" fontId="15" fillId="2" borderId="67" xfId="1" applyFont="1" applyFill="1" applyBorder="1" applyAlignment="1">
      <alignment horizontal="left" vertical="center" wrapText="1"/>
    </xf>
    <xf numFmtId="0" fontId="15" fillId="2" borderId="68" xfId="1" applyFont="1" applyFill="1" applyBorder="1" applyAlignment="1">
      <alignment horizontal="left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" xfId="1" applyFont="1" applyFill="1" applyBorder="1" applyAlignment="1">
      <alignment horizontal="right" vertical="center" wrapText="1"/>
    </xf>
    <xf numFmtId="0" fontId="19" fillId="4" borderId="1" xfId="1" applyFont="1" applyFill="1" applyBorder="1" applyAlignment="1">
      <alignment horizontal="left" vertical="center" wrapText="1"/>
    </xf>
    <xf numFmtId="0" fontId="19" fillId="4" borderId="1" xfId="1" applyFont="1" applyFill="1" applyBorder="1" applyAlignment="1">
      <alignment horizontal="center" vertical="center" wrapText="1"/>
    </xf>
    <xf numFmtId="168" fontId="19" fillId="4" borderId="1" xfId="1" applyNumberFormat="1" applyFont="1" applyFill="1" applyBorder="1" applyAlignment="1">
      <alignment horizontal="right" vertical="center" wrapText="1"/>
    </xf>
    <xf numFmtId="4" fontId="19" fillId="4" borderId="1" xfId="1" applyNumberFormat="1" applyFont="1" applyFill="1" applyBorder="1" applyAlignment="1">
      <alignment horizontal="right" vertical="center" wrapText="1"/>
    </xf>
    <xf numFmtId="4" fontId="19" fillId="4" borderId="12" xfId="1" applyNumberFormat="1" applyFont="1" applyFill="1" applyBorder="1" applyAlignment="1">
      <alignment horizontal="right" vertical="center" wrapText="1"/>
    </xf>
    <xf numFmtId="0" fontId="7" fillId="2" borderId="8" xfId="1" applyFont="1" applyFill="1" applyBorder="1" applyAlignment="1">
      <alignment horizontal="right" vertical="center" wrapText="1"/>
    </xf>
    <xf numFmtId="4" fontId="7" fillId="2" borderId="9" xfId="1" applyNumberFormat="1" applyFont="1" applyFill="1" applyBorder="1" applyAlignment="1">
      <alignment horizontal="right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7" fontId="6" fillId="5" borderId="72" xfId="1" applyNumberFormat="1" applyFont="1" applyFill="1" applyBorder="1" applyAlignment="1">
      <alignment horizontal="center" vertical="center" wrapText="1"/>
    </xf>
    <xf numFmtId="17" fontId="6" fillId="5" borderId="73" xfId="1" applyNumberFormat="1" applyFont="1" applyFill="1" applyBorder="1" applyAlignment="1">
      <alignment horizontal="center" vertical="center" wrapText="1"/>
    </xf>
    <xf numFmtId="43" fontId="7" fillId="0" borderId="0" xfId="1" applyNumberFormat="1" applyFont="1" applyAlignment="1">
      <alignment vertical="center"/>
    </xf>
    <xf numFmtId="9" fontId="19" fillId="0" borderId="26" xfId="11" applyFont="1" applyFill="1" applyBorder="1" applyAlignment="1">
      <alignment horizontal="right" vertical="center" wrapText="1"/>
    </xf>
    <xf numFmtId="10" fontId="15" fillId="0" borderId="26" xfId="11" applyNumberFormat="1" applyFont="1" applyFill="1" applyBorder="1" applyAlignment="1">
      <alignment horizontal="right" vertical="center" wrapText="1"/>
    </xf>
    <xf numFmtId="10" fontId="15" fillId="0" borderId="7" xfId="11" applyNumberFormat="1" applyFont="1" applyFill="1" applyBorder="1" applyAlignment="1">
      <alignment horizontal="right" vertical="center" wrapText="1"/>
    </xf>
    <xf numFmtId="43" fontId="19" fillId="0" borderId="1" xfId="1" applyNumberFormat="1" applyFont="1" applyBorder="1" applyAlignment="1">
      <alignment horizontal="right" vertical="center" wrapText="1"/>
    </xf>
    <xf numFmtId="43" fontId="15" fillId="0" borderId="1" xfId="1" applyNumberFormat="1" applyFont="1" applyBorder="1" applyAlignment="1">
      <alignment horizontal="right" vertical="center" wrapText="1"/>
    </xf>
    <xf numFmtId="43" fontId="15" fillId="0" borderId="12" xfId="1" applyNumberFormat="1" applyFont="1" applyBorder="1" applyAlignment="1">
      <alignment horizontal="right" vertical="center" wrapText="1"/>
    </xf>
    <xf numFmtId="9" fontId="19" fillId="0" borderId="1" xfId="11" applyFont="1" applyFill="1" applyBorder="1" applyAlignment="1">
      <alignment horizontal="right" vertical="center" wrapText="1"/>
    </xf>
    <xf numFmtId="10" fontId="15" fillId="0" borderId="1" xfId="11" applyNumberFormat="1" applyFont="1" applyFill="1" applyBorder="1" applyAlignment="1">
      <alignment horizontal="right" vertical="center" wrapText="1"/>
    </xf>
    <xf numFmtId="10" fontId="15" fillId="0" borderId="12" xfId="11" applyNumberFormat="1" applyFont="1" applyFill="1" applyBorder="1" applyAlignment="1">
      <alignment horizontal="right" vertical="center" wrapText="1"/>
    </xf>
    <xf numFmtId="43" fontId="19" fillId="0" borderId="18" xfId="1" applyNumberFormat="1" applyFont="1" applyBorder="1" applyAlignment="1">
      <alignment horizontal="right" vertical="center" wrapText="1"/>
    </xf>
    <xf numFmtId="43" fontId="15" fillId="0" borderId="18" xfId="1" applyNumberFormat="1" applyFont="1" applyBorder="1" applyAlignment="1">
      <alignment horizontal="right" vertical="center" wrapText="1"/>
    </xf>
    <xf numFmtId="43" fontId="15" fillId="0" borderId="19" xfId="1" applyNumberFormat="1" applyFont="1" applyBorder="1" applyAlignment="1">
      <alignment horizontal="right" vertical="center" wrapText="1"/>
    </xf>
    <xf numFmtId="0" fontId="6" fillId="14" borderId="29" xfId="1" applyFont="1" applyFill="1" applyBorder="1" applyAlignment="1">
      <alignment horizontal="right" vertical="center" wrapText="1"/>
    </xf>
    <xf numFmtId="10" fontId="7" fillId="14" borderId="29" xfId="11" applyNumberFormat="1" applyFont="1" applyFill="1" applyBorder="1" applyAlignment="1">
      <alignment horizontal="right" vertical="center" wrapText="1"/>
    </xf>
    <xf numFmtId="10" fontId="7" fillId="14" borderId="34" xfId="11" applyNumberFormat="1" applyFont="1" applyFill="1" applyBorder="1" applyAlignment="1">
      <alignment horizontal="right" vertical="center" wrapText="1"/>
    </xf>
    <xf numFmtId="0" fontId="6" fillId="14" borderId="1" xfId="1" applyFont="1" applyFill="1" applyBorder="1" applyAlignment="1">
      <alignment horizontal="right" vertical="center" wrapText="1"/>
    </xf>
    <xf numFmtId="43" fontId="7" fillId="14" borderId="1" xfId="1" applyNumberFormat="1" applyFont="1" applyFill="1" applyBorder="1" applyAlignment="1">
      <alignment horizontal="right" vertical="center" wrapText="1"/>
    </xf>
    <xf numFmtId="43" fontId="7" fillId="14" borderId="12" xfId="1" applyNumberFormat="1" applyFont="1" applyFill="1" applyBorder="1" applyAlignment="1">
      <alignment horizontal="right" vertical="center" wrapText="1"/>
    </xf>
    <xf numFmtId="10" fontId="7" fillId="14" borderId="1" xfId="1" applyNumberFormat="1" applyFont="1" applyFill="1" applyBorder="1" applyAlignment="1">
      <alignment horizontal="right" vertical="center" wrapText="1"/>
    </xf>
    <xf numFmtId="10" fontId="7" fillId="14" borderId="12" xfId="1" applyNumberFormat="1" applyFont="1" applyFill="1" applyBorder="1" applyAlignment="1">
      <alignment horizontal="right" vertical="center" wrapText="1"/>
    </xf>
    <xf numFmtId="0" fontId="6" fillId="14" borderId="18" xfId="1" applyFont="1" applyFill="1" applyBorder="1" applyAlignment="1">
      <alignment horizontal="right" vertical="center" wrapText="1"/>
    </xf>
    <xf numFmtId="43" fontId="7" fillId="14" borderId="18" xfId="1" applyNumberFormat="1" applyFont="1" applyFill="1" applyBorder="1" applyAlignment="1">
      <alignment horizontal="right" vertical="center" wrapText="1"/>
    </xf>
    <xf numFmtId="43" fontId="7" fillId="14" borderId="19" xfId="1" applyNumberFormat="1" applyFont="1" applyFill="1" applyBorder="1" applyAlignment="1">
      <alignment horizontal="right" vertical="center" wrapText="1"/>
    </xf>
    <xf numFmtId="169" fontId="2" fillId="0" borderId="12" xfId="3" applyNumberFormat="1" applyFont="1" applyFill="1" applyBorder="1" applyAlignment="1">
      <alignment horizontal="center" vertical="center"/>
    </xf>
    <xf numFmtId="170" fontId="4" fillId="5" borderId="12" xfId="4" applyNumberFormat="1" applyFont="1" applyFill="1" applyBorder="1" applyAlignment="1">
      <alignment vertical="center" wrapText="1"/>
    </xf>
    <xf numFmtId="170" fontId="2" fillId="0" borderId="12" xfId="4" applyNumberFormat="1" applyFont="1" applyBorder="1" applyAlignment="1">
      <alignment vertical="center" wrapText="1"/>
    </xf>
    <xf numFmtId="170" fontId="4" fillId="6" borderId="12" xfId="4" applyNumberFormat="1" applyFont="1" applyFill="1" applyBorder="1" applyAlignment="1">
      <alignment vertical="center" wrapText="1"/>
    </xf>
    <xf numFmtId="43" fontId="19" fillId="0" borderId="28" xfId="1" applyNumberFormat="1" applyFont="1" applyBorder="1" applyAlignment="1">
      <alignment horizontal="right" vertical="center" wrapText="1"/>
    </xf>
    <xf numFmtId="9" fontId="19" fillId="0" borderId="28" xfId="11" applyFont="1" applyFill="1" applyBorder="1" applyAlignment="1">
      <alignment horizontal="right" vertical="center" wrapText="1"/>
    </xf>
    <xf numFmtId="9" fontId="19" fillId="0" borderId="65" xfId="11" applyFont="1" applyFill="1" applyBorder="1" applyAlignment="1">
      <alignment horizontal="right" vertical="center" wrapText="1"/>
    </xf>
    <xf numFmtId="10" fontId="15" fillId="0" borderId="29" xfId="11" applyNumberFormat="1" applyFont="1" applyFill="1" applyBorder="1" applyAlignment="1">
      <alignment horizontal="right" vertical="center" wrapText="1"/>
    </xf>
    <xf numFmtId="43" fontId="15" fillId="0" borderId="36" xfId="1" applyNumberFormat="1" applyFont="1" applyBorder="1" applyAlignment="1">
      <alignment horizontal="right" vertical="center" wrapText="1"/>
    </xf>
    <xf numFmtId="0" fontId="6" fillId="14" borderId="26" xfId="1" applyFont="1" applyFill="1" applyBorder="1" applyAlignment="1">
      <alignment horizontal="right" vertical="center" wrapText="1"/>
    </xf>
    <xf numFmtId="10" fontId="7" fillId="14" borderId="26" xfId="11" applyNumberFormat="1" applyFont="1" applyFill="1" applyBorder="1" applyAlignment="1">
      <alignment horizontal="right" vertical="center" wrapText="1"/>
    </xf>
    <xf numFmtId="0" fontId="2" fillId="2" borderId="8" xfId="7" applyFont="1" applyFill="1" applyBorder="1" applyAlignment="1">
      <alignment vertical="center"/>
    </xf>
    <xf numFmtId="0" fontId="2" fillId="2" borderId="0" xfId="7" applyFont="1" applyFill="1" applyBorder="1" applyAlignment="1">
      <alignment vertical="center"/>
    </xf>
    <xf numFmtId="0" fontId="2" fillId="2" borderId="9" xfId="7" applyFont="1" applyFill="1" applyBorder="1" applyAlignment="1">
      <alignment vertical="center"/>
    </xf>
    <xf numFmtId="0" fontId="6" fillId="2" borderId="8" xfId="7" applyFont="1" applyFill="1" applyBorder="1" applyAlignment="1">
      <alignment vertical="center"/>
    </xf>
    <xf numFmtId="0" fontId="6" fillId="2" borderId="0" xfId="7" applyFont="1" applyFill="1" applyBorder="1" applyAlignment="1">
      <alignment vertical="center"/>
    </xf>
    <xf numFmtId="0" fontId="6" fillId="2" borderId="9" xfId="7" applyFont="1" applyFill="1" applyBorder="1" applyAlignment="1">
      <alignment vertical="center"/>
    </xf>
    <xf numFmtId="0" fontId="7" fillId="2" borderId="8" xfId="7" applyFont="1" applyFill="1" applyBorder="1" applyAlignment="1">
      <alignment horizontal="left" vertical="center"/>
    </xf>
    <xf numFmtId="0" fontId="7" fillId="2" borderId="0" xfId="7" applyFont="1" applyFill="1" applyBorder="1" applyAlignment="1">
      <alignment horizontal="left" vertical="center"/>
    </xf>
    <xf numFmtId="0" fontId="7" fillId="2" borderId="9" xfId="7" applyFont="1" applyFill="1" applyBorder="1" applyAlignment="1">
      <alignment horizontal="left" vertical="center"/>
    </xf>
    <xf numFmtId="10" fontId="7" fillId="2" borderId="83" xfId="7" applyNumberFormat="1" applyFont="1" applyFill="1" applyBorder="1" applyAlignment="1">
      <alignment horizontal="center" vertical="center"/>
    </xf>
    <xf numFmtId="0" fontId="24" fillId="2" borderId="8" xfId="7" applyFont="1" applyFill="1" applyBorder="1" applyAlignment="1">
      <alignment horizontal="right" vertical="center"/>
    </xf>
    <xf numFmtId="0" fontId="28" fillId="2" borderId="8" xfId="7" applyFont="1" applyFill="1" applyBorder="1" applyAlignment="1">
      <alignment horizontal="center" vertical="center"/>
    </xf>
    <xf numFmtId="0" fontId="28" fillId="2" borderId="0" xfId="7" applyFont="1" applyFill="1" applyBorder="1" applyAlignment="1">
      <alignment horizontal="center" vertical="center"/>
    </xf>
    <xf numFmtId="0" fontId="28" fillId="2" borderId="9" xfId="7" applyFont="1" applyFill="1" applyBorder="1" applyAlignment="1">
      <alignment horizontal="center" vertical="center"/>
    </xf>
    <xf numFmtId="167" fontId="2" fillId="2" borderId="0" xfId="7" applyNumberFormat="1" applyFont="1" applyFill="1" applyBorder="1" applyAlignment="1">
      <alignment vertical="center"/>
    </xf>
    <xf numFmtId="0" fontId="2" fillId="2" borderId="86" xfId="7" applyFont="1" applyFill="1" applyBorder="1" applyAlignment="1">
      <alignment vertical="center"/>
    </xf>
    <xf numFmtId="0" fontId="7" fillId="2" borderId="0" xfId="7" applyFont="1" applyFill="1" applyBorder="1" applyAlignment="1">
      <alignment vertical="center"/>
    </xf>
    <xf numFmtId="0" fontId="6" fillId="2" borderId="8" xfId="9" applyFont="1" applyFill="1" applyBorder="1" applyAlignment="1">
      <alignment horizontal="left" vertical="center"/>
    </xf>
    <xf numFmtId="165" fontId="2" fillId="2" borderId="0" xfId="7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2" fillId="0" borderId="0" xfId="0" applyFont="1"/>
    <xf numFmtId="0" fontId="7" fillId="2" borderId="0" xfId="1" applyFont="1" applyFill="1" applyBorder="1" applyAlignment="1">
      <alignment horizontal="right" vertical="center" wrapText="1"/>
    </xf>
    <xf numFmtId="10" fontId="7" fillId="11" borderId="83" xfId="7" applyNumberFormat="1" applyFont="1" applyFill="1" applyBorder="1" applyAlignment="1" applyProtection="1">
      <alignment horizontal="center" vertical="center"/>
      <protection locked="0"/>
    </xf>
    <xf numFmtId="0" fontId="2" fillId="2" borderId="8" xfId="7" applyFont="1" applyFill="1" applyBorder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9" xfId="7" applyFont="1" applyFill="1" applyBorder="1" applyAlignment="1">
      <alignment horizontal="center" vertical="center"/>
    </xf>
    <xf numFmtId="0" fontId="7" fillId="13" borderId="62" xfId="7" applyFont="1" applyFill="1" applyBorder="1" applyAlignment="1">
      <alignment horizontal="center" vertical="center" wrapText="1"/>
    </xf>
    <xf numFmtId="171" fontId="2" fillId="0" borderId="1" xfId="3" applyNumberFormat="1" applyFont="1" applyFill="1" applyBorder="1" applyAlignment="1">
      <alignment horizontal="center" vertical="center"/>
    </xf>
    <xf numFmtId="172" fontId="6" fillId="0" borderId="32" xfId="4" applyNumberFormat="1" applyFont="1" applyFill="1" applyBorder="1" applyAlignment="1">
      <alignment vertical="center"/>
    </xf>
    <xf numFmtId="0" fontId="2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168" fontId="7" fillId="0" borderId="1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left" vertical="top" wrapText="1"/>
    </xf>
    <xf numFmtId="4" fontId="7" fillId="0" borderId="12" xfId="0" applyNumberFormat="1" applyFont="1" applyFill="1" applyBorder="1" applyAlignment="1">
      <alignment horizontal="right" vertical="top" wrapText="1"/>
    </xf>
    <xf numFmtId="10" fontId="15" fillId="0" borderId="34" xfId="11" applyNumberFormat="1" applyFont="1" applyFill="1" applyBorder="1" applyAlignment="1">
      <alignment horizontal="right" vertical="center" wrapText="1"/>
    </xf>
    <xf numFmtId="10" fontId="7" fillId="14" borderId="7" xfId="11" applyNumberFormat="1" applyFont="1" applyFill="1" applyBorder="1" applyAlignment="1">
      <alignment horizontal="right" vertical="center" wrapText="1"/>
    </xf>
    <xf numFmtId="0" fontId="29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1" fontId="0" fillId="5" borderId="0" xfId="0" applyNumberFormat="1" applyFill="1"/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173" fontId="2" fillId="0" borderId="0" xfId="0" applyNumberFormat="1" applyFont="1" applyFill="1"/>
    <xf numFmtId="0" fontId="0" fillId="5" borderId="0" xfId="0" applyFill="1" applyAlignment="1">
      <alignment horizontal="left"/>
    </xf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10" fontId="30" fillId="15" borderId="88" xfId="4" applyNumberFormat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6" fillId="2" borderId="0" xfId="9" applyFont="1" applyFill="1" applyBorder="1" applyAlignment="1">
      <alignment horizontal="left" vertical="center"/>
    </xf>
    <xf numFmtId="0" fontId="7" fillId="2" borderId="89" xfId="1" applyFont="1" applyFill="1" applyBorder="1" applyAlignment="1">
      <alignment horizontal="right" vertical="center" wrapText="1"/>
    </xf>
    <xf numFmtId="0" fontId="7" fillId="2" borderId="90" xfId="1" applyFont="1" applyFill="1" applyBorder="1" applyAlignment="1">
      <alignment horizontal="right" vertical="center" wrapText="1"/>
    </xf>
    <xf numFmtId="4" fontId="7" fillId="2" borderId="91" xfId="1" applyNumberFormat="1" applyFont="1" applyFill="1" applyBorder="1" applyAlignment="1">
      <alignment horizontal="right" vertical="center" wrapText="1"/>
    </xf>
    <xf numFmtId="0" fontId="2" fillId="2" borderId="0" xfId="5" applyFont="1" applyFill="1" applyAlignment="1">
      <alignment horizontal="center" vertical="center"/>
    </xf>
    <xf numFmtId="0" fontId="2" fillId="2" borderId="3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20" fillId="5" borderId="0" xfId="5" applyFont="1" applyFill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/>
    </xf>
    <xf numFmtId="49" fontId="4" fillId="2" borderId="0" xfId="5" applyNumberFormat="1" applyFont="1" applyFill="1" applyAlignment="1">
      <alignment horizontal="center" vertical="center"/>
    </xf>
    <xf numFmtId="0" fontId="10" fillId="2" borderId="0" xfId="5" applyFont="1" applyFill="1" applyAlignment="1">
      <alignment horizontal="left"/>
    </xf>
    <xf numFmtId="0" fontId="10" fillId="2" borderId="57" xfId="5" applyFont="1" applyFill="1" applyBorder="1" applyAlignment="1">
      <alignment horizontal="left"/>
    </xf>
    <xf numFmtId="0" fontId="10" fillId="2" borderId="0" xfId="5" applyFont="1" applyFill="1" applyAlignment="1">
      <alignment horizontal="right"/>
    </xf>
    <xf numFmtId="0" fontId="10" fillId="2" borderId="57" xfId="5" applyFont="1" applyFill="1" applyBorder="1" applyAlignment="1">
      <alignment horizontal="right"/>
    </xf>
    <xf numFmtId="0" fontId="21" fillId="6" borderId="0" xfId="5" applyFont="1" applyFill="1" applyAlignment="1">
      <alignment horizontal="center" vertical="center"/>
    </xf>
    <xf numFmtId="0" fontId="10" fillId="2" borderId="58" xfId="5" applyFont="1" applyFill="1" applyBorder="1" applyAlignment="1">
      <alignment horizontal="left"/>
    </xf>
    <xf numFmtId="0" fontId="10" fillId="2" borderId="58" xfId="5" applyFont="1" applyFill="1" applyBorder="1" applyAlignment="1">
      <alignment horizontal="right"/>
    </xf>
    <xf numFmtId="0" fontId="4" fillId="2" borderId="0" xfId="5" applyNumberFormat="1" applyFont="1" applyFill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10" fontId="2" fillId="2" borderId="11" xfId="2" applyNumberFormat="1" applyFont="1" applyFill="1" applyBorder="1" applyAlignment="1">
      <alignment horizontal="center" vertical="center"/>
    </xf>
    <xf numFmtId="10" fontId="2" fillId="2" borderId="12" xfId="2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12" xfId="5" applyFont="1" applyFill="1" applyBorder="1" applyAlignment="1">
      <alignment horizontal="center" vertical="center"/>
    </xf>
    <xf numFmtId="0" fontId="2" fillId="2" borderId="17" xfId="5" applyFont="1" applyFill="1" applyBorder="1" applyAlignment="1">
      <alignment horizontal="center" vertical="center"/>
    </xf>
    <xf numFmtId="0" fontId="2" fillId="2" borderId="18" xfId="5" applyFont="1" applyFill="1" applyBorder="1" applyAlignment="1">
      <alignment horizontal="center" vertical="center"/>
    </xf>
    <xf numFmtId="0" fontId="2" fillId="2" borderId="19" xfId="5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27" xfId="3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right" vertical="center"/>
    </xf>
    <xf numFmtId="0" fontId="2" fillId="0" borderId="28" xfId="3" applyFont="1" applyFill="1" applyBorder="1" applyAlignment="1">
      <alignment horizontal="right" vertical="center"/>
    </xf>
    <xf numFmtId="0" fontId="2" fillId="0" borderId="36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right" vertical="center" wrapText="1"/>
    </xf>
    <xf numFmtId="0" fontId="2" fillId="0" borderId="39" xfId="3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29" xfId="3" applyFont="1" applyFill="1" applyBorder="1" applyAlignment="1">
      <alignment horizontal="right" vertical="center" wrapText="1"/>
    </xf>
    <xf numFmtId="10" fontId="2" fillId="2" borderId="11" xfId="11" applyNumberFormat="1" applyFont="1" applyFill="1" applyBorder="1" applyAlignment="1">
      <alignment horizontal="center" vertical="center"/>
    </xf>
    <xf numFmtId="10" fontId="2" fillId="2" borderId="12" xfId="1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" fillId="2" borderId="27" xfId="3" applyFont="1" applyFill="1" applyBorder="1" applyAlignment="1">
      <alignment horizontal="center" vertical="center"/>
    </xf>
    <xf numFmtId="0" fontId="2" fillId="2" borderId="35" xfId="3" applyFont="1" applyFill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  <xf numFmtId="0" fontId="2" fillId="2" borderId="16" xfId="5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6" fillId="5" borderId="69" xfId="1" applyFont="1" applyFill="1" applyBorder="1" applyAlignment="1">
      <alignment horizontal="center" vertical="center" wrapText="1"/>
    </xf>
    <xf numFmtId="0" fontId="6" fillId="5" borderId="71" xfId="1" applyFont="1" applyFill="1" applyBorder="1" applyAlignment="1">
      <alignment horizontal="center" vertical="center" wrapText="1"/>
    </xf>
    <xf numFmtId="0" fontId="6" fillId="5" borderId="70" xfId="1" applyFont="1" applyFill="1" applyBorder="1" applyAlignment="1">
      <alignment horizontal="center" vertical="center" wrapText="1"/>
    </xf>
    <xf numFmtId="0" fontId="6" fillId="5" borderId="72" xfId="1" applyFont="1" applyFill="1" applyBorder="1" applyAlignment="1">
      <alignment horizontal="center" vertical="center" wrapText="1"/>
    </xf>
    <xf numFmtId="0" fontId="2" fillId="2" borderId="25" xfId="3" applyFont="1" applyFill="1" applyBorder="1" applyAlignment="1">
      <alignment horizontal="center" vertical="center"/>
    </xf>
    <xf numFmtId="0" fontId="2" fillId="2" borderId="75" xfId="3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2" fillId="2" borderId="33" xfId="5" applyFont="1" applyFill="1" applyBorder="1" applyAlignment="1">
      <alignment horizontal="center" vertical="center"/>
    </xf>
    <xf numFmtId="0" fontId="2" fillId="2" borderId="42" xfId="5" applyFont="1" applyFill="1" applyBorder="1" applyAlignment="1">
      <alignment horizontal="center" vertical="center"/>
    </xf>
    <xf numFmtId="0" fontId="2" fillId="2" borderId="0" xfId="5" applyFont="1" applyFill="1" applyBorder="1" applyAlignment="1">
      <alignment horizontal="center" vertical="center"/>
    </xf>
    <xf numFmtId="0" fontId="2" fillId="2" borderId="14" xfId="3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9" fillId="0" borderId="27" xfId="1" applyFont="1" applyBorder="1" applyAlignment="1">
      <alignment horizontal="center" vertical="center" wrapText="1"/>
    </xf>
    <xf numFmtId="0" fontId="6" fillId="14" borderId="6" xfId="1" applyFont="1" applyFill="1" applyBorder="1" applyAlignment="1">
      <alignment horizontal="center" vertical="center" wrapText="1"/>
    </xf>
    <xf numFmtId="0" fontId="6" fillId="14" borderId="11" xfId="1" applyFont="1" applyFill="1" applyBorder="1" applyAlignment="1">
      <alignment horizontal="center" vertical="center" wrapText="1"/>
    </xf>
    <xf numFmtId="0" fontId="6" fillId="14" borderId="17" xfId="1" applyFont="1" applyFill="1" applyBorder="1" applyAlignment="1">
      <alignment horizontal="center" vertical="center" wrapText="1"/>
    </xf>
    <xf numFmtId="43" fontId="6" fillId="14" borderId="26" xfId="1" applyNumberFormat="1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 vertical="center" wrapText="1"/>
    </xf>
    <xf numFmtId="0" fontId="6" fillId="14" borderId="18" xfId="1" applyFont="1" applyFill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19" fillId="0" borderId="33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left" vertical="center" wrapText="1"/>
    </xf>
    <xf numFmtId="10" fontId="10" fillId="2" borderId="11" xfId="6" applyNumberFormat="1" applyFont="1" applyFill="1" applyBorder="1" applyAlignment="1">
      <alignment horizontal="center" vertical="center"/>
    </xf>
    <xf numFmtId="10" fontId="10" fillId="2" borderId="12" xfId="6" applyNumberFormat="1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0" fontId="10" fillId="2" borderId="9" xfId="5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33" xfId="5" applyFont="1" applyFill="1" applyBorder="1" applyAlignment="1">
      <alignment horizontal="center" vertical="center"/>
    </xf>
    <xf numFmtId="0" fontId="10" fillId="2" borderId="42" xfId="5" applyFont="1" applyFill="1" applyBorder="1" applyAlignment="1">
      <alignment horizontal="center" vertical="center"/>
    </xf>
    <xf numFmtId="0" fontId="10" fillId="2" borderId="43" xfId="5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13" fillId="7" borderId="22" xfId="7" applyFont="1" applyFill="1" applyBorder="1" applyAlignment="1">
      <alignment horizontal="center" vertical="center"/>
    </xf>
    <xf numFmtId="0" fontId="13" fillId="7" borderId="23" xfId="7" applyFont="1" applyFill="1" applyBorder="1" applyAlignment="1">
      <alignment horizontal="center" vertical="center"/>
    </xf>
    <xf numFmtId="0" fontId="13" fillId="7" borderId="24" xfId="7" applyFont="1" applyFill="1" applyBorder="1" applyAlignment="1">
      <alignment horizontal="center" vertical="center"/>
    </xf>
    <xf numFmtId="0" fontId="14" fillId="5" borderId="45" xfId="8" applyFont="1" applyFill="1" applyBorder="1" applyAlignment="1">
      <alignment horizontal="center" vertical="center"/>
    </xf>
    <xf numFmtId="0" fontId="14" fillId="5" borderId="46" xfId="8" applyFont="1" applyFill="1" applyBorder="1" applyAlignment="1">
      <alignment horizontal="center" vertical="center"/>
    </xf>
    <xf numFmtId="0" fontId="14" fillId="5" borderId="47" xfId="8" applyFont="1" applyFill="1" applyBorder="1" applyAlignment="1">
      <alignment horizontal="center" vertical="center"/>
    </xf>
    <xf numFmtId="0" fontId="14" fillId="5" borderId="48" xfId="8" applyFont="1" applyFill="1" applyBorder="1" applyAlignment="1">
      <alignment horizontal="center" vertical="center"/>
    </xf>
    <xf numFmtId="0" fontId="14" fillId="5" borderId="49" xfId="8" applyFont="1" applyFill="1" applyBorder="1" applyAlignment="1">
      <alignment horizontal="center" vertical="center"/>
    </xf>
    <xf numFmtId="0" fontId="14" fillId="5" borderId="50" xfId="8" applyFont="1" applyFill="1" applyBorder="1" applyAlignment="1">
      <alignment horizontal="center" vertical="center"/>
    </xf>
    <xf numFmtId="0" fontId="10" fillId="2" borderId="13" xfId="5" applyFont="1" applyFill="1" applyBorder="1" applyAlignment="1">
      <alignment horizontal="center" vertical="center"/>
    </xf>
    <xf numFmtId="0" fontId="10" fillId="2" borderId="11" xfId="5" applyFont="1" applyFill="1" applyBorder="1" applyAlignment="1">
      <alignment horizontal="center" vertical="center"/>
    </xf>
    <xf numFmtId="0" fontId="10" fillId="2" borderId="12" xfId="5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5" xfId="5" applyFont="1" applyFill="1" applyBorder="1" applyAlignment="1">
      <alignment horizontal="center" vertical="center" wrapText="1"/>
    </xf>
    <xf numFmtId="0" fontId="10" fillId="2" borderId="16" xfId="5" applyFont="1" applyFill="1" applyBorder="1" applyAlignment="1">
      <alignment horizontal="center" vertical="center" wrapText="1"/>
    </xf>
    <xf numFmtId="0" fontId="10" fillId="2" borderId="20" xfId="5" applyFont="1" applyFill="1" applyBorder="1" applyAlignment="1">
      <alignment horizontal="center" vertical="center" wrapText="1"/>
    </xf>
    <xf numFmtId="0" fontId="10" fillId="2" borderId="21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/>
    </xf>
    <xf numFmtId="0" fontId="10" fillId="2" borderId="15" xfId="5" applyFont="1" applyFill="1" applyBorder="1" applyAlignment="1">
      <alignment horizontal="center" vertical="center"/>
    </xf>
    <xf numFmtId="0" fontId="10" fillId="2" borderId="16" xfId="5" applyFont="1" applyFill="1" applyBorder="1" applyAlignment="1">
      <alignment horizontal="center" vertical="center"/>
    </xf>
    <xf numFmtId="0" fontId="10" fillId="2" borderId="21" xfId="5" applyFont="1" applyFill="1" applyBorder="1" applyAlignment="1">
      <alignment horizontal="center" vertical="center"/>
    </xf>
    <xf numFmtId="0" fontId="10" fillId="2" borderId="20" xfId="5" applyFont="1" applyFill="1" applyBorder="1" applyAlignment="1">
      <alignment horizontal="center" vertical="center"/>
    </xf>
    <xf numFmtId="0" fontId="10" fillId="2" borderId="40" xfId="5" applyFont="1" applyFill="1" applyBorder="1" applyAlignment="1">
      <alignment horizontal="center" vertical="center"/>
    </xf>
    <xf numFmtId="0" fontId="10" fillId="2" borderId="41" xfId="5" applyFont="1" applyFill="1" applyBorder="1" applyAlignment="1">
      <alignment horizontal="center" vertical="center"/>
    </xf>
    <xf numFmtId="0" fontId="10" fillId="2" borderId="44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6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 wrapText="1"/>
    </xf>
    <xf numFmtId="0" fontId="2" fillId="0" borderId="4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7" fillId="2" borderId="90" xfId="1" applyFont="1" applyFill="1" applyBorder="1" applyAlignment="1">
      <alignment horizontal="right" vertical="center" wrapText="1"/>
    </xf>
    <xf numFmtId="0" fontId="2" fillId="2" borderId="43" xfId="5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2" fillId="2" borderId="14" xfId="5" applyFont="1" applyFill="1" applyBorder="1" applyAlignment="1">
      <alignment horizontal="center" vertical="center"/>
    </xf>
    <xf numFmtId="0" fontId="2" fillId="2" borderId="13" xfId="5" applyFont="1" applyFill="1" applyBorder="1" applyAlignment="1">
      <alignment horizontal="center" vertical="center"/>
    </xf>
    <xf numFmtId="0" fontId="2" fillId="2" borderId="15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20" xfId="3" applyFont="1" applyFill="1" applyBorder="1" applyAlignment="1">
      <alignment horizontal="center" vertical="center"/>
    </xf>
    <xf numFmtId="0" fontId="19" fillId="0" borderId="6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left" vertical="center" wrapText="1"/>
    </xf>
    <xf numFmtId="0" fontId="19" fillId="0" borderId="38" xfId="1" applyFont="1" applyBorder="1" applyAlignment="1">
      <alignment horizontal="center" vertical="center" wrapText="1"/>
    </xf>
    <xf numFmtId="0" fontId="19" fillId="0" borderId="74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left" vertical="center" wrapText="1"/>
    </xf>
    <xf numFmtId="0" fontId="6" fillId="14" borderId="74" xfId="1" applyFont="1" applyFill="1" applyBorder="1" applyAlignment="1">
      <alignment horizontal="center" vertical="center" wrapText="1"/>
    </xf>
    <xf numFmtId="43" fontId="6" fillId="14" borderId="29" xfId="1" applyNumberFormat="1" applyFont="1" applyFill="1" applyBorder="1" applyAlignment="1">
      <alignment horizontal="center" vertical="center" wrapText="1"/>
    </xf>
    <xf numFmtId="0" fontId="2" fillId="2" borderId="87" xfId="7" applyFont="1" applyFill="1" applyBorder="1" applyAlignment="1">
      <alignment horizontal="left" vertical="center"/>
    </xf>
    <xf numFmtId="0" fontId="2" fillId="2" borderId="64" xfId="7" applyFont="1" applyFill="1" applyBorder="1" applyAlignment="1">
      <alignment horizontal="left" vertical="center"/>
    </xf>
    <xf numFmtId="0" fontId="26" fillId="2" borderId="0" xfId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6" fillId="2" borderId="0" xfId="1" applyFont="1" applyFill="1" applyBorder="1" applyAlignment="1">
      <alignment horizontal="center" vertical="center"/>
    </xf>
    <xf numFmtId="0" fontId="7" fillId="2" borderId="82" xfId="7" applyFont="1" applyFill="1" applyBorder="1" applyAlignment="1">
      <alignment horizontal="left" vertical="center" wrapText="1"/>
    </xf>
    <xf numFmtId="0" fontId="7" fillId="2" borderId="62" xfId="7" applyFont="1" applyFill="1" applyBorder="1" applyAlignment="1">
      <alignment horizontal="left" vertical="center" wrapText="1"/>
    </xf>
    <xf numFmtId="0" fontId="7" fillId="2" borderId="83" xfId="7" applyFont="1" applyFill="1" applyBorder="1" applyAlignment="1">
      <alignment horizontal="left" vertical="center" wrapText="1"/>
    </xf>
    <xf numFmtId="49" fontId="2" fillId="11" borderId="82" xfId="7" applyNumberFormat="1" applyFont="1" applyFill="1" applyBorder="1" applyAlignment="1" applyProtection="1">
      <alignment horizontal="left" vertical="center" wrapText="1"/>
      <protection locked="0"/>
    </xf>
    <xf numFmtId="49" fontId="2" fillId="11" borderId="62" xfId="7" applyNumberFormat="1" applyFont="1" applyFill="1" applyBorder="1" applyAlignment="1" applyProtection="1">
      <alignment horizontal="left" vertical="center" wrapText="1"/>
      <protection locked="0"/>
    </xf>
    <xf numFmtId="49" fontId="2" fillId="11" borderId="83" xfId="7" applyNumberFormat="1" applyFont="1" applyFill="1" applyBorder="1" applyAlignment="1" applyProtection="1">
      <alignment horizontal="left" vertical="center" wrapText="1"/>
      <protection locked="0"/>
    </xf>
    <xf numFmtId="165" fontId="2" fillId="2" borderId="84" xfId="7" applyNumberFormat="1" applyFont="1" applyFill="1" applyBorder="1" applyAlignment="1">
      <alignment horizontal="left" vertical="center"/>
    </xf>
    <xf numFmtId="165" fontId="2" fillId="2" borderId="63" xfId="7" applyNumberFormat="1" applyFont="1" applyFill="1" applyBorder="1" applyAlignment="1">
      <alignment horizontal="left" vertical="center"/>
    </xf>
    <xf numFmtId="166" fontId="2" fillId="2" borderId="63" xfId="7" applyNumberFormat="1" applyFont="1" applyFill="1" applyBorder="1" applyAlignment="1">
      <alignment horizontal="left" vertical="center"/>
    </xf>
    <xf numFmtId="166" fontId="2" fillId="2" borderId="85" xfId="7" applyNumberFormat="1" applyFont="1" applyFill="1" applyBorder="1" applyAlignment="1">
      <alignment horizontal="left" vertical="center"/>
    </xf>
    <xf numFmtId="0" fontId="6" fillId="2" borderId="8" xfId="7" applyFont="1" applyFill="1" applyBorder="1" applyAlignment="1">
      <alignment horizontal="left" vertical="center"/>
    </xf>
    <xf numFmtId="0" fontId="6" fillId="2" borderId="0" xfId="7" applyFont="1" applyFill="1" applyBorder="1" applyAlignment="1">
      <alignment horizontal="left" vertical="center"/>
    </xf>
    <xf numFmtId="0" fontId="2" fillId="2" borderId="8" xfId="7" applyFont="1" applyFill="1" applyBorder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9" xfId="7" applyFont="1" applyFill="1" applyBorder="1" applyAlignment="1">
      <alignment horizontal="center" vertical="center"/>
    </xf>
    <xf numFmtId="0" fontId="2" fillId="2" borderId="82" xfId="7" applyFont="1" applyFill="1" applyBorder="1" applyAlignment="1">
      <alignment horizontal="center" vertical="center" wrapText="1"/>
    </xf>
    <xf numFmtId="0" fontId="2" fillId="2" borderId="62" xfId="7" applyFont="1" applyFill="1" applyBorder="1" applyAlignment="1">
      <alignment horizontal="center" vertical="center" wrapText="1"/>
    </xf>
    <xf numFmtId="0" fontId="7" fillId="13" borderId="82" xfId="7" applyFont="1" applyFill="1" applyBorder="1" applyAlignment="1">
      <alignment horizontal="center" vertical="center" wrapText="1"/>
    </xf>
    <xf numFmtId="0" fontId="7" fillId="13" borderId="62" xfId="7" applyFont="1" applyFill="1" applyBorder="1" applyAlignment="1">
      <alignment horizontal="center" vertical="center" wrapText="1"/>
    </xf>
    <xf numFmtId="0" fontId="25" fillId="2" borderId="0" xfId="7" applyFont="1" applyFill="1" applyBorder="1" applyAlignment="1">
      <alignment horizontal="left" vertical="center"/>
    </xf>
    <xf numFmtId="0" fontId="25" fillId="2" borderId="9" xfId="7" applyFont="1" applyFill="1" applyBorder="1" applyAlignment="1">
      <alignment horizontal="left" vertical="center"/>
    </xf>
    <xf numFmtId="0" fontId="6" fillId="2" borderId="82" xfId="7" applyFont="1" applyFill="1" applyBorder="1" applyAlignment="1">
      <alignment horizontal="center" vertical="center"/>
    </xf>
    <xf numFmtId="0" fontId="6" fillId="2" borderId="62" xfId="7" applyFont="1" applyFill="1" applyBorder="1" applyAlignment="1">
      <alignment horizontal="center" vertical="center"/>
    </xf>
    <xf numFmtId="4" fontId="6" fillId="2" borderId="83" xfId="7" applyNumberFormat="1" applyFont="1" applyFill="1" applyBorder="1" applyAlignment="1">
      <alignment horizontal="center" vertical="center" wrapText="1"/>
    </xf>
    <xf numFmtId="0" fontId="2" fillId="2" borderId="81" xfId="7" applyFont="1" applyFill="1" applyBorder="1" applyAlignment="1">
      <alignment horizontal="left" vertical="center" wrapText="1"/>
    </xf>
    <xf numFmtId="0" fontId="2" fillId="2" borderId="61" xfId="7" applyFont="1" applyFill="1" applyBorder="1" applyAlignment="1">
      <alignment horizontal="left" vertical="center" wrapText="1"/>
    </xf>
    <xf numFmtId="0" fontId="2" fillId="2" borderId="78" xfId="7" applyFont="1" applyFill="1" applyBorder="1" applyAlignment="1">
      <alignment horizontal="left" vertical="center" wrapText="1"/>
    </xf>
    <xf numFmtId="0" fontId="6" fillId="2" borderId="79" xfId="9" applyFont="1" applyFill="1" applyBorder="1" applyAlignment="1">
      <alignment horizontal="left" vertical="center"/>
    </xf>
    <xf numFmtId="0" fontId="6" fillId="2" borderId="60" xfId="9" applyFont="1" applyFill="1" applyBorder="1" applyAlignment="1">
      <alignment horizontal="left" vertical="center"/>
    </xf>
    <xf numFmtId="0" fontId="6" fillId="2" borderId="80" xfId="9" applyFont="1" applyFill="1" applyBorder="1" applyAlignment="1">
      <alignment horizontal="left" vertical="center"/>
    </xf>
    <xf numFmtId="0" fontId="7" fillId="2" borderId="81" xfId="10" applyNumberFormat="1" applyFont="1" applyFill="1" applyBorder="1" applyAlignment="1" applyProtection="1">
      <alignment horizontal="left" vertical="center" wrapText="1"/>
    </xf>
    <xf numFmtId="0" fontId="7" fillId="2" borderId="61" xfId="10" applyNumberFormat="1" applyFont="1" applyFill="1" applyBorder="1" applyAlignment="1" applyProtection="1">
      <alignment horizontal="left" vertical="center" wrapText="1"/>
    </xf>
    <xf numFmtId="0" fontId="7" fillId="2" borderId="78" xfId="10" applyNumberFormat="1" applyFont="1" applyFill="1" applyBorder="1" applyAlignment="1" applyProtection="1">
      <alignment horizontal="left" vertical="center" wrapText="1"/>
    </xf>
    <xf numFmtId="10" fontId="7" fillId="11" borderId="62" xfId="7" applyNumberFormat="1" applyFont="1" applyFill="1" applyBorder="1" applyAlignment="1" applyProtection="1">
      <alignment horizontal="center" vertical="center"/>
      <protection locked="0"/>
    </xf>
    <xf numFmtId="10" fontId="7" fillId="11" borderId="83" xfId="7" applyNumberFormat="1" applyFont="1" applyFill="1" applyBorder="1" applyAlignment="1" applyProtection="1">
      <alignment horizontal="center" vertical="center"/>
      <protection locked="0"/>
    </xf>
    <xf numFmtId="0" fontId="7" fillId="2" borderId="82" xfId="7" applyFont="1" applyFill="1" applyBorder="1" applyAlignment="1">
      <alignment horizontal="left" vertical="center"/>
    </xf>
    <xf numFmtId="0" fontId="7" fillId="2" borderId="62" xfId="7" applyFont="1" applyFill="1" applyBorder="1" applyAlignment="1">
      <alignment horizontal="left" vertical="center"/>
    </xf>
    <xf numFmtId="0" fontId="6" fillId="2" borderId="83" xfId="7" applyFont="1" applyFill="1" applyBorder="1" applyAlignment="1">
      <alignment horizontal="center" vertical="center"/>
    </xf>
    <xf numFmtId="164" fontId="7" fillId="12" borderId="81" xfId="10" applyFont="1" applyFill="1" applyBorder="1" applyAlignment="1" applyProtection="1">
      <alignment horizontal="left" vertical="center"/>
      <protection locked="0"/>
    </xf>
    <xf numFmtId="164" fontId="7" fillId="12" borderId="61" xfId="10" applyFont="1" applyFill="1" applyBorder="1" applyAlignment="1" applyProtection="1">
      <alignment horizontal="left" vertical="center"/>
      <protection locked="0"/>
    </xf>
    <xf numFmtId="164" fontId="7" fillId="12" borderId="78" xfId="10" applyFont="1" applyFill="1" applyBorder="1" applyAlignment="1" applyProtection="1">
      <alignment horizontal="left" vertical="center"/>
      <protection locked="0"/>
    </xf>
    <xf numFmtId="0" fontId="22" fillId="2" borderId="0" xfId="7" applyFont="1" applyFill="1" applyAlignment="1">
      <alignment horizontal="center" vertical="center"/>
    </xf>
    <xf numFmtId="0" fontId="22" fillId="2" borderId="59" xfId="7" applyFont="1" applyFill="1" applyBorder="1" applyAlignment="1">
      <alignment horizontal="center" vertical="center"/>
    </xf>
    <xf numFmtId="0" fontId="2" fillId="2" borderId="76" xfId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78" xfId="1" applyFont="1" applyFill="1" applyBorder="1" applyAlignment="1">
      <alignment horizontal="center" vertical="center"/>
    </xf>
    <xf numFmtId="0" fontId="7" fillId="0" borderId="0" xfId="5" applyFont="1" applyAlignment="1">
      <alignment horizontal="left" vertical="center" wrapText="1"/>
    </xf>
    <xf numFmtId="0" fontId="2" fillId="8" borderId="0" xfId="5" applyFont="1" applyFill="1" applyAlignment="1">
      <alignment horizontal="center" vertical="center" wrapText="1"/>
    </xf>
    <xf numFmtId="0" fontId="6" fillId="9" borderId="51" xfId="5" applyFont="1" applyFill="1" applyBorder="1" applyAlignment="1">
      <alignment horizontal="center" vertical="center" wrapText="1"/>
    </xf>
    <xf numFmtId="0" fontId="6" fillId="9" borderId="52" xfId="5" applyFont="1" applyFill="1" applyBorder="1" applyAlignment="1">
      <alignment horizontal="center" vertical="center" wrapText="1"/>
    </xf>
    <xf numFmtId="0" fontId="6" fillId="9" borderId="53" xfId="5" applyFont="1" applyFill="1" applyBorder="1" applyAlignment="1">
      <alignment horizontal="center" vertical="center" wrapText="1"/>
    </xf>
    <xf numFmtId="0" fontId="6" fillId="0" borderId="54" xfId="5" applyFont="1" applyBorder="1" applyAlignment="1">
      <alignment horizontal="center" vertical="center" wrapText="1"/>
    </xf>
    <xf numFmtId="0" fontId="6" fillId="0" borderId="55" xfId="5" applyFont="1" applyBorder="1" applyAlignment="1">
      <alignment horizontal="center" vertical="center" wrapText="1"/>
    </xf>
    <xf numFmtId="0" fontId="6" fillId="8" borderId="51" xfId="5" applyFont="1" applyFill="1" applyBorder="1" applyAlignment="1">
      <alignment horizontal="center" vertical="center" wrapText="1"/>
    </xf>
    <xf numFmtId="0" fontId="6" fillId="8" borderId="53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</cellXfs>
  <cellStyles count="12">
    <cellStyle name="Moeda_Composicao BDI v2.1" xfId="10" xr:uid="{D1DDF04D-D2FD-41B6-8FA7-58206537E815}"/>
    <cellStyle name="Normal" xfId="0" builtinId="0"/>
    <cellStyle name="Normal 2" xfId="5" xr:uid="{9988B615-D55B-4EF9-BFE6-C8103AAF68D4}"/>
    <cellStyle name="Normal 2 3" xfId="7" xr:uid="{ACAB5BAB-5413-4CE0-99DC-5D8F4EED149B}"/>
    <cellStyle name="Normal 3" xfId="1" xr:uid="{6A9D03B6-C180-49E1-8FF2-424842F60147}"/>
    <cellStyle name="Normal 3 2" xfId="8" xr:uid="{FB65D69D-31AD-4B82-A9AF-4A4EDE70FE74}"/>
    <cellStyle name="Normal 4" xfId="3" xr:uid="{4DB73946-1A29-496D-A12B-5E7842423518}"/>
    <cellStyle name="Normal_FICHA DE VERIFICAÇÃO PRELIMINAR - Plano R" xfId="9" xr:uid="{905B37A1-06AB-40FC-BB7C-79E24D9DA1DF}"/>
    <cellStyle name="Porcentagem" xfId="4" builtinId="5"/>
    <cellStyle name="Porcentagem 2" xfId="2" xr:uid="{8555D449-2B1A-4795-BF98-1494057F9CBD}"/>
    <cellStyle name="Porcentagem 3" xfId="6" xr:uid="{344C1C67-C990-4EDE-81D4-EF2C715F74DD}"/>
    <cellStyle name="Porcentagem 4" xfId="11" xr:uid="{B1E02750-CCC7-43E3-8CD2-B28CC401CD19}"/>
  </cellStyles>
  <dxfs count="41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  <dxf>
      <fill>
        <gradientFill degree="90">
          <stop position="0">
            <color theme="3" tint="0.80001220740379042"/>
          </stop>
          <stop position="1">
            <color theme="3" tint="0.40000610370189521"/>
          </stop>
        </gradientFill>
      </fill>
    </dxf>
    <dxf>
      <font>
        <color theme="0"/>
      </font>
    </dxf>
    <dxf>
      <fill>
        <gradientFill degree="90">
          <stop position="0">
            <color theme="3" tint="0.80001220740379042"/>
          </stop>
          <stop position="1">
            <color theme="3" tint="0.40000610370189521"/>
          </stop>
        </gradientFill>
      </fill>
    </dxf>
    <dxf>
      <font>
        <color theme="0"/>
      </font>
    </dxf>
    <dxf>
      <fill>
        <gradientFill degree="90">
          <stop position="0">
            <color theme="3" tint="0.80001220740379042"/>
          </stop>
          <stop position="1">
            <color theme="3" tint="0.40000610370189521"/>
          </stop>
        </gradient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degree="90">
          <stop position="0">
            <color theme="3" tint="0.80001220740379042"/>
          </stop>
          <stop position="1">
            <color theme="3" tint="0.40000610370189521"/>
          </stop>
        </gradient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1" Type="http://schemas.openxmlformats.org/officeDocument/2006/relationships/image" Target="../media/image2.pn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5</xdr:row>
      <xdr:rowOff>133350</xdr:rowOff>
    </xdr:from>
    <xdr:to>
      <xdr:col>5</xdr:col>
      <xdr:colOff>247650</xdr:colOff>
      <xdr:row>9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9AFB17-26EC-405E-9777-AE52E0056D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42975"/>
          <a:ext cx="4762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54553</xdr:colOff>
      <xdr:row>0</xdr:row>
      <xdr:rowOff>56284</xdr:rowOff>
    </xdr:from>
    <xdr:ext cx="6803447" cy="9001125"/>
    <xdr:grpSp>
      <xdr:nvGrpSpPr>
        <xdr:cNvPr id="2" name="Group 2">
          <a:extLst>
            <a:ext uri="{FF2B5EF4-FFF2-40B4-BE49-F238E27FC236}">
              <a16:creationId xmlns:a16="http://schemas.microsoft.com/office/drawing/2014/main" id="{A581A917-816D-4AB1-AFF9-0697D5199754}"/>
            </a:ext>
          </a:extLst>
        </xdr:cNvPr>
        <xdr:cNvGrpSpPr/>
      </xdr:nvGrpSpPr>
      <xdr:grpSpPr>
        <a:xfrm>
          <a:off x="54553" y="56284"/>
          <a:ext cx="6803447" cy="9001125"/>
          <a:chOff x="0" y="0"/>
          <a:chExt cx="6437630" cy="900874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A74B98A1-8620-4D2B-ABAC-D612E32B0EB2}"/>
              </a:ext>
            </a:extLst>
          </xdr:cNvPr>
          <xdr:cNvSpPr/>
        </xdr:nvSpPr>
        <xdr:spPr>
          <a:xfrm>
            <a:off x="0" y="0"/>
            <a:ext cx="6437630" cy="9008745"/>
          </a:xfrm>
          <a:custGeom>
            <a:avLst/>
            <a:gdLst/>
            <a:ahLst/>
            <a:cxnLst/>
            <a:rect l="0" t="0" r="0" b="0"/>
            <a:pathLst>
              <a:path w="6437630" h="9008745">
                <a:moveTo>
                  <a:pt x="6006071" y="413004"/>
                </a:moveTo>
                <a:lnTo>
                  <a:pt x="257556" y="413004"/>
                </a:lnTo>
                <a:lnTo>
                  <a:pt x="257556" y="423672"/>
                </a:lnTo>
                <a:lnTo>
                  <a:pt x="6006071" y="423672"/>
                </a:lnTo>
                <a:lnTo>
                  <a:pt x="6006071" y="413004"/>
                </a:lnTo>
                <a:close/>
              </a:path>
              <a:path w="6437630" h="9008745">
                <a:moveTo>
                  <a:pt x="6437376" y="0"/>
                </a:moveTo>
                <a:lnTo>
                  <a:pt x="6426708" y="0"/>
                </a:lnTo>
                <a:lnTo>
                  <a:pt x="6426708" y="10668"/>
                </a:lnTo>
                <a:lnTo>
                  <a:pt x="6426708" y="8997696"/>
                </a:lnTo>
                <a:lnTo>
                  <a:pt x="10668" y="8997696"/>
                </a:lnTo>
                <a:lnTo>
                  <a:pt x="10668" y="10668"/>
                </a:lnTo>
                <a:lnTo>
                  <a:pt x="6426708" y="10668"/>
                </a:lnTo>
                <a:lnTo>
                  <a:pt x="6426708" y="0"/>
                </a:lnTo>
                <a:lnTo>
                  <a:pt x="10668" y="0"/>
                </a:lnTo>
                <a:lnTo>
                  <a:pt x="0" y="0"/>
                </a:lnTo>
                <a:lnTo>
                  <a:pt x="0" y="9008364"/>
                </a:lnTo>
                <a:lnTo>
                  <a:pt x="10668" y="9008364"/>
                </a:lnTo>
                <a:lnTo>
                  <a:pt x="6426708" y="9008364"/>
                </a:lnTo>
                <a:lnTo>
                  <a:pt x="6437376" y="9008364"/>
                </a:lnTo>
                <a:lnTo>
                  <a:pt x="6437376" y="8997696"/>
                </a:lnTo>
                <a:lnTo>
                  <a:pt x="6437376" y="10668"/>
                </a:lnTo>
                <a:lnTo>
                  <a:pt x="6437376" y="0"/>
                </a:lnTo>
                <a:close/>
              </a:path>
            </a:pathLst>
          </a:custGeom>
          <a:solidFill>
            <a:srgbClr val="99CCFF"/>
          </a:solidFill>
        </xdr:spPr>
      </xdr:sp>
      <xdr:pic>
        <xdr:nvPicPr>
          <xdr:cNvPr id="4" name="image1.jpeg">
            <a:extLst>
              <a:ext uri="{FF2B5EF4-FFF2-40B4-BE49-F238E27FC236}">
                <a16:creationId xmlns:a16="http://schemas.microsoft.com/office/drawing/2014/main" id="{505D7BD9-664F-45D2-926A-1FDFE136CA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83479" y="85344"/>
            <a:ext cx="1007364" cy="259079"/>
          </a:xfrm>
          <a:prstGeom prst="rect">
            <a:avLst/>
          </a:prstGeom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5</xdr:row>
      <xdr:rowOff>133350</xdr:rowOff>
    </xdr:from>
    <xdr:to>
      <xdr:col>5</xdr:col>
      <xdr:colOff>247650</xdr:colOff>
      <xdr:row>9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1C6648-9BCF-4974-9E5B-152F9FA641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42975"/>
          <a:ext cx="4762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5</xdr:row>
      <xdr:rowOff>133350</xdr:rowOff>
    </xdr:from>
    <xdr:to>
      <xdr:col>5</xdr:col>
      <xdr:colOff>247650</xdr:colOff>
      <xdr:row>9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4C99A8-DCA8-499B-9B40-BFB8A4E7E8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42975"/>
          <a:ext cx="4762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100542</xdr:colOff>
      <xdr:row>1</xdr:row>
      <xdr:rowOff>10583</xdr:rowOff>
    </xdr:from>
    <xdr:to>
      <xdr:col>0</xdr:col>
      <xdr:colOff>576792</xdr:colOff>
      <xdr:row>5</xdr:row>
      <xdr:rowOff>4233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18663C-4F98-4151-BB17-F6B84385DB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2" y="185843"/>
          <a:ext cx="476250" cy="6946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1996440</xdr:colOff>
      <xdr:row>127</xdr:row>
      <xdr:rowOff>91440</xdr:rowOff>
    </xdr:from>
    <xdr:to>
      <xdr:col>5</xdr:col>
      <xdr:colOff>53340</xdr:colOff>
      <xdr:row>132</xdr:row>
      <xdr:rowOff>152400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00B551F-0F2B-444D-A450-F26E1DED1504}"/>
            </a:ext>
          </a:extLst>
        </xdr:cNvPr>
        <xdr:cNvSpPr txBox="1"/>
      </xdr:nvSpPr>
      <xdr:spPr>
        <a:xfrm>
          <a:off x="4297680" y="36751260"/>
          <a:ext cx="2735580" cy="937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Paulo Mateus Silva Repolho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Comissão de Divisão de Topografia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Engenheiro Civil - SEMINFRA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CREA nº: 1522367381PA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9525</xdr:rowOff>
    </xdr:from>
    <xdr:to>
      <xdr:col>0</xdr:col>
      <xdr:colOff>581025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1DB41B-7F94-4889-856E-6D25DBC414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4762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3025140</xdr:colOff>
      <xdr:row>343</xdr:row>
      <xdr:rowOff>99060</xdr:rowOff>
    </xdr:from>
    <xdr:to>
      <xdr:col>4</xdr:col>
      <xdr:colOff>403860</xdr:colOff>
      <xdr:row>348</xdr:row>
      <xdr:rowOff>160020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E81C620-4D6F-496F-993A-E4CBF9C34ECE}"/>
            </a:ext>
          </a:extLst>
        </xdr:cNvPr>
        <xdr:cNvSpPr txBox="1"/>
      </xdr:nvSpPr>
      <xdr:spPr>
        <a:xfrm>
          <a:off x="3649980" y="84902040"/>
          <a:ext cx="2735580" cy="937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Paulo Mateus Silva Repolho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Comissão de Divisão de Topografia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Engenheiro Civil - SEMINFRA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CREA nº: 1522367381PA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581025</xdr:colOff>
      <xdr:row>4</xdr:row>
      <xdr:rowOff>90768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88AC50-52DC-41EF-BA98-41CBDF18C8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466725" cy="6824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824753</xdr:colOff>
      <xdr:row>36</xdr:row>
      <xdr:rowOff>125506</xdr:rowOff>
    </xdr:from>
    <xdr:to>
      <xdr:col>7</xdr:col>
      <xdr:colOff>82027</xdr:colOff>
      <xdr:row>41</xdr:row>
      <xdr:rowOff>157330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B001282-DCF9-40B6-B84D-EA50856B0014}"/>
            </a:ext>
          </a:extLst>
        </xdr:cNvPr>
        <xdr:cNvSpPr txBox="1"/>
      </xdr:nvSpPr>
      <xdr:spPr>
        <a:xfrm>
          <a:off x="5190565" y="6696635"/>
          <a:ext cx="2735580" cy="937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Paulo Mateus Silva Repolho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Comissão de Divisão de Topografia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Engenheiro Civil - SEMINFRA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CREA nº: 1522367381PA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142875</xdr:rowOff>
    </xdr:to>
    <xdr:sp macro="" textlink="">
      <xdr:nvSpPr>
        <xdr:cNvPr id="2" name="AutoShape 1014">
          <a:extLst>
            <a:ext uri="{FF2B5EF4-FFF2-40B4-BE49-F238E27FC236}">
              <a16:creationId xmlns:a16="http://schemas.microsoft.com/office/drawing/2014/main" id="{AEF36368-9FC5-4B14-B70D-03EC2580C29C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82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133350</xdr:rowOff>
    </xdr:to>
    <xdr:sp macro="" textlink="">
      <xdr:nvSpPr>
        <xdr:cNvPr id="3" name="AutoShape 1024">
          <a:extLst>
            <a:ext uri="{FF2B5EF4-FFF2-40B4-BE49-F238E27FC236}">
              <a16:creationId xmlns:a16="http://schemas.microsoft.com/office/drawing/2014/main" id="{DDC8D752-6E12-4F7B-9210-BD7F2D24EE63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82880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355480</xdr:colOff>
      <xdr:row>12</xdr:row>
      <xdr:rowOff>129904</xdr:rowOff>
    </xdr:from>
    <xdr:to>
      <xdr:col>5</xdr:col>
      <xdr:colOff>383605</xdr:colOff>
      <xdr:row>32</xdr:row>
      <xdr:rowOff>14904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1120173-E589-4A09-8AE5-1EE9C3874810}"/>
            </a:ext>
          </a:extLst>
        </xdr:cNvPr>
        <xdr:cNvSpPr/>
      </xdr:nvSpPr>
      <xdr:spPr>
        <a:xfrm>
          <a:off x="355480" y="2463529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353124</xdr:colOff>
      <xdr:row>32</xdr:row>
      <xdr:rowOff>118562</xdr:rowOff>
    </xdr:from>
    <xdr:to>
      <xdr:col>5</xdr:col>
      <xdr:colOff>381249</xdr:colOff>
      <xdr:row>36</xdr:row>
      <xdr:rowOff>5515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12DC268-679F-403F-A372-B76D7A48603E}"/>
            </a:ext>
          </a:extLst>
        </xdr:cNvPr>
        <xdr:cNvSpPr txBox="1"/>
      </xdr:nvSpPr>
      <xdr:spPr>
        <a:xfrm>
          <a:off x="353124" y="5627187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01 -</a:t>
          </a:r>
          <a:r>
            <a:rPr lang="pt-BR" sz="1200" b="1" baseline="0">
              <a:latin typeface="Arial Narrow" panose="020B0606020202030204" pitchFamily="34" charset="0"/>
              <a:cs typeface="Arial" panose="020B0604020202020204" pitchFamily="34" charset="0"/>
            </a:rPr>
            <a:t> Área externa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142875</xdr:rowOff>
    </xdr:to>
    <xdr:sp macro="" textlink="">
      <xdr:nvSpPr>
        <xdr:cNvPr id="6" name="AutoShape 1024">
          <a:extLst>
            <a:ext uri="{FF2B5EF4-FFF2-40B4-BE49-F238E27FC236}">
              <a16:creationId xmlns:a16="http://schemas.microsoft.com/office/drawing/2014/main" id="{5AC70E29-1BC3-4C52-8689-743F615FD2E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7346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142876</xdr:rowOff>
    </xdr:to>
    <xdr:sp macro="" textlink="">
      <xdr:nvSpPr>
        <xdr:cNvPr id="7" name="AutoShape 1025">
          <a:extLst>
            <a:ext uri="{FF2B5EF4-FFF2-40B4-BE49-F238E27FC236}">
              <a16:creationId xmlns:a16="http://schemas.microsoft.com/office/drawing/2014/main" id="{41AEF949-E1BA-4073-8708-FC1E6E56F40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66865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142875</xdr:rowOff>
    </xdr:to>
    <xdr:sp macro="" textlink="">
      <xdr:nvSpPr>
        <xdr:cNvPr id="8" name="AutoShape 1025">
          <a:extLst>
            <a:ext uri="{FF2B5EF4-FFF2-40B4-BE49-F238E27FC236}">
              <a16:creationId xmlns:a16="http://schemas.microsoft.com/office/drawing/2014/main" id="{41B5E5D0-E484-455C-B9AC-EE657C642EB9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7346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67</xdr:row>
      <xdr:rowOff>0</xdr:rowOff>
    </xdr:from>
    <xdr:ext cx="304800" cy="301625"/>
    <xdr:sp macro="" textlink="">
      <xdr:nvSpPr>
        <xdr:cNvPr id="9" name="AutoShape 1025">
          <a:extLst>
            <a:ext uri="{FF2B5EF4-FFF2-40B4-BE49-F238E27FC236}">
              <a16:creationId xmlns:a16="http://schemas.microsoft.com/office/drawing/2014/main" id="{85667864-9BA7-4F94-A291-C15C9DDF5E13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7346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304800" cy="301625"/>
    <xdr:sp macro="" textlink="">
      <xdr:nvSpPr>
        <xdr:cNvPr id="10" name="AutoShape 1014">
          <a:extLst>
            <a:ext uri="{FF2B5EF4-FFF2-40B4-BE49-F238E27FC236}">
              <a16:creationId xmlns:a16="http://schemas.microsoft.com/office/drawing/2014/main" id="{ACDD4C4F-FED1-46F7-83AF-52C152B0C52A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7346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2100"/>
    <xdr:sp macro="" textlink="">
      <xdr:nvSpPr>
        <xdr:cNvPr id="11" name="AutoShape 1024">
          <a:extLst>
            <a:ext uri="{FF2B5EF4-FFF2-40B4-BE49-F238E27FC236}">
              <a16:creationId xmlns:a16="http://schemas.microsoft.com/office/drawing/2014/main" id="{B09F743D-5D65-4DAD-AE5F-5EFD689BA44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73467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518769</xdr:colOff>
      <xdr:row>12</xdr:row>
      <xdr:rowOff>139430</xdr:rowOff>
    </xdr:from>
    <xdr:to>
      <xdr:col>10</xdr:col>
      <xdr:colOff>546894</xdr:colOff>
      <xdr:row>32</xdr:row>
      <xdr:rowOff>24430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F5C3F854-A2FF-41A8-B5F1-8E09EAF1FB86}"/>
            </a:ext>
          </a:extLst>
        </xdr:cNvPr>
        <xdr:cNvSpPr/>
      </xdr:nvSpPr>
      <xdr:spPr>
        <a:xfrm>
          <a:off x="5757519" y="2473055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516413</xdr:colOff>
      <xdr:row>32</xdr:row>
      <xdr:rowOff>128088</xdr:rowOff>
    </xdr:from>
    <xdr:to>
      <xdr:col>10</xdr:col>
      <xdr:colOff>544538</xdr:colOff>
      <xdr:row>36</xdr:row>
      <xdr:rowOff>15041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68F7D9C2-122F-418B-ADB1-956EF8F53A2E}"/>
            </a:ext>
          </a:extLst>
        </xdr:cNvPr>
        <xdr:cNvSpPr txBox="1"/>
      </xdr:nvSpPr>
      <xdr:spPr>
        <a:xfrm>
          <a:off x="5755163" y="5636713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02 - Área externa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698377</xdr:colOff>
      <xdr:row>12</xdr:row>
      <xdr:rowOff>142151</xdr:rowOff>
    </xdr:from>
    <xdr:to>
      <xdr:col>15</xdr:col>
      <xdr:colOff>726502</xdr:colOff>
      <xdr:row>32</xdr:row>
      <xdr:rowOff>27151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8C7DCB6B-E7A7-4BE0-8422-019BB504CCC8}"/>
            </a:ext>
          </a:extLst>
        </xdr:cNvPr>
        <xdr:cNvSpPr/>
      </xdr:nvSpPr>
      <xdr:spPr>
        <a:xfrm>
          <a:off x="11175877" y="2475776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10</xdr:col>
      <xdr:colOff>696021</xdr:colOff>
      <xdr:row>32</xdr:row>
      <xdr:rowOff>130809</xdr:rowOff>
    </xdr:from>
    <xdr:to>
      <xdr:col>15</xdr:col>
      <xdr:colOff>724146</xdr:colOff>
      <xdr:row>36</xdr:row>
      <xdr:rowOff>17762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1138E620-0C09-4B44-A840-C1A791824010}"/>
            </a:ext>
          </a:extLst>
        </xdr:cNvPr>
        <xdr:cNvSpPr txBox="1"/>
      </xdr:nvSpPr>
      <xdr:spPr>
        <a:xfrm>
          <a:off x="11173521" y="5639434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03 -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Área externa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371808</xdr:colOff>
      <xdr:row>39</xdr:row>
      <xdr:rowOff>119014</xdr:rowOff>
    </xdr:from>
    <xdr:to>
      <xdr:col>5</xdr:col>
      <xdr:colOff>399933</xdr:colOff>
      <xdr:row>59</xdr:row>
      <xdr:rowOff>4014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3510DB5A-7C90-4D7F-B874-E668287AC9B3}"/>
            </a:ext>
          </a:extLst>
        </xdr:cNvPr>
        <xdr:cNvSpPr/>
      </xdr:nvSpPr>
      <xdr:spPr>
        <a:xfrm>
          <a:off x="371808" y="6580139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369452</xdr:colOff>
      <xdr:row>59</xdr:row>
      <xdr:rowOff>107673</xdr:rowOff>
    </xdr:from>
    <xdr:to>
      <xdr:col>5</xdr:col>
      <xdr:colOff>397577</xdr:colOff>
      <xdr:row>62</xdr:row>
      <xdr:rowOff>153375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7A4134A2-7791-4A63-A961-9EA405C760E4}"/>
            </a:ext>
          </a:extLst>
        </xdr:cNvPr>
        <xdr:cNvSpPr txBox="1"/>
      </xdr:nvSpPr>
      <xdr:spPr>
        <a:xfrm>
          <a:off x="369452" y="9743798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04 - Área externa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535097</xdr:colOff>
      <xdr:row>39</xdr:row>
      <xdr:rowOff>128540</xdr:rowOff>
    </xdr:from>
    <xdr:to>
      <xdr:col>10</xdr:col>
      <xdr:colOff>563222</xdr:colOff>
      <xdr:row>59</xdr:row>
      <xdr:rowOff>13540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85F2A925-E4B2-4EE7-ABF5-3F6E1F04DA8E}"/>
            </a:ext>
          </a:extLst>
        </xdr:cNvPr>
        <xdr:cNvSpPr/>
      </xdr:nvSpPr>
      <xdr:spPr>
        <a:xfrm>
          <a:off x="5773847" y="6589665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532741</xdr:colOff>
      <xdr:row>59</xdr:row>
      <xdr:rowOff>117199</xdr:rowOff>
    </xdr:from>
    <xdr:to>
      <xdr:col>10</xdr:col>
      <xdr:colOff>560866</xdr:colOff>
      <xdr:row>63</xdr:row>
      <xdr:rowOff>4151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8E424CDD-32AD-431C-B472-EE5465D239DF}"/>
            </a:ext>
          </a:extLst>
        </xdr:cNvPr>
        <xdr:cNvSpPr txBox="1"/>
      </xdr:nvSpPr>
      <xdr:spPr>
        <a:xfrm>
          <a:off x="5771491" y="9753324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05 -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Área externa</a:t>
          </a:r>
          <a:r>
            <a:rPr lang="pt-BR" sz="12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714705</xdr:colOff>
      <xdr:row>39</xdr:row>
      <xdr:rowOff>131261</xdr:rowOff>
    </xdr:from>
    <xdr:to>
      <xdr:col>15</xdr:col>
      <xdr:colOff>742830</xdr:colOff>
      <xdr:row>59</xdr:row>
      <xdr:rowOff>16261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1267429-3861-4ADF-A09B-0643CA4C5E3E}"/>
            </a:ext>
          </a:extLst>
        </xdr:cNvPr>
        <xdr:cNvSpPr/>
      </xdr:nvSpPr>
      <xdr:spPr>
        <a:xfrm>
          <a:off x="11192205" y="6592386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10</xdr:col>
      <xdr:colOff>712349</xdr:colOff>
      <xdr:row>59</xdr:row>
      <xdr:rowOff>119920</xdr:rowOff>
    </xdr:from>
    <xdr:to>
      <xdr:col>15</xdr:col>
      <xdr:colOff>740474</xdr:colOff>
      <xdr:row>63</xdr:row>
      <xdr:rowOff>6872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48FD505-DF5B-4D45-9486-E59FA82C918E}"/>
            </a:ext>
          </a:extLst>
        </xdr:cNvPr>
        <xdr:cNvSpPr txBox="1"/>
      </xdr:nvSpPr>
      <xdr:spPr>
        <a:xfrm>
          <a:off x="11189849" y="9756045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06 -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Área externa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11</xdr:col>
      <xdr:colOff>0</xdr:colOff>
      <xdr:row>164</xdr:row>
      <xdr:rowOff>0</xdr:rowOff>
    </xdr:from>
    <xdr:ext cx="304800" cy="301626"/>
    <xdr:sp macro="" textlink="">
      <xdr:nvSpPr>
        <xdr:cNvPr id="22" name="AutoShape 1014">
          <a:extLst>
            <a:ext uri="{FF2B5EF4-FFF2-40B4-BE49-F238E27FC236}">
              <a16:creationId xmlns:a16="http://schemas.microsoft.com/office/drawing/2014/main" id="{60D88E20-724D-429C-8E71-F2118F8186D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1"/>
    <xdr:sp macro="" textlink="">
      <xdr:nvSpPr>
        <xdr:cNvPr id="23" name="AutoShape 1024">
          <a:extLst>
            <a:ext uri="{FF2B5EF4-FFF2-40B4-BE49-F238E27FC236}">
              <a16:creationId xmlns:a16="http://schemas.microsoft.com/office/drawing/2014/main" id="{F9B847D2-AE1D-4781-833C-ADD7D75A65A1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24" name="AutoShape 1024">
          <a:extLst>
            <a:ext uri="{FF2B5EF4-FFF2-40B4-BE49-F238E27FC236}">
              <a16:creationId xmlns:a16="http://schemas.microsoft.com/office/drawing/2014/main" id="{65986A28-1999-4C3E-B6F9-2BA3DF394AA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6"/>
    <xdr:sp macro="" textlink="">
      <xdr:nvSpPr>
        <xdr:cNvPr id="25" name="AutoShape 1025">
          <a:extLst>
            <a:ext uri="{FF2B5EF4-FFF2-40B4-BE49-F238E27FC236}">
              <a16:creationId xmlns:a16="http://schemas.microsoft.com/office/drawing/2014/main" id="{9ABD7E82-F74D-48EB-949B-38D135BF18EE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26" name="AutoShape 1025">
          <a:extLst>
            <a:ext uri="{FF2B5EF4-FFF2-40B4-BE49-F238E27FC236}">
              <a16:creationId xmlns:a16="http://schemas.microsoft.com/office/drawing/2014/main" id="{FE29EC0F-6A6B-4570-94E9-1A7A444FEA6F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27" name="AutoShape 1025">
          <a:extLst>
            <a:ext uri="{FF2B5EF4-FFF2-40B4-BE49-F238E27FC236}">
              <a16:creationId xmlns:a16="http://schemas.microsoft.com/office/drawing/2014/main" id="{C2AE009B-8923-4297-AF68-AE51D423097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28" name="AutoShape 1014">
          <a:extLst>
            <a:ext uri="{FF2B5EF4-FFF2-40B4-BE49-F238E27FC236}">
              <a16:creationId xmlns:a16="http://schemas.microsoft.com/office/drawing/2014/main" id="{B720738C-5ABC-4230-BE78-73D05B57E73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29" name="AutoShape 1024">
          <a:extLst>
            <a:ext uri="{FF2B5EF4-FFF2-40B4-BE49-F238E27FC236}">
              <a16:creationId xmlns:a16="http://schemas.microsoft.com/office/drawing/2014/main" id="{B80A59E8-95A0-4751-80D7-67D09D11307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30" name="AutoShape 1025">
          <a:extLst>
            <a:ext uri="{FF2B5EF4-FFF2-40B4-BE49-F238E27FC236}">
              <a16:creationId xmlns:a16="http://schemas.microsoft.com/office/drawing/2014/main" id="{2B92F1A5-6303-4F2E-9FD6-3DB40A8F1AD1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6"/>
    <xdr:sp macro="" textlink="">
      <xdr:nvSpPr>
        <xdr:cNvPr id="31" name="AutoShape 1014">
          <a:extLst>
            <a:ext uri="{FF2B5EF4-FFF2-40B4-BE49-F238E27FC236}">
              <a16:creationId xmlns:a16="http://schemas.microsoft.com/office/drawing/2014/main" id="{E9FC1C9B-9CDE-4089-940B-B4EFCA6A7C8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1"/>
    <xdr:sp macro="" textlink="">
      <xdr:nvSpPr>
        <xdr:cNvPr id="32" name="AutoShape 1024">
          <a:extLst>
            <a:ext uri="{FF2B5EF4-FFF2-40B4-BE49-F238E27FC236}">
              <a16:creationId xmlns:a16="http://schemas.microsoft.com/office/drawing/2014/main" id="{6FFD3CCE-8691-460C-86C0-5563C25D2B0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33" name="AutoShape 1024">
          <a:extLst>
            <a:ext uri="{FF2B5EF4-FFF2-40B4-BE49-F238E27FC236}">
              <a16:creationId xmlns:a16="http://schemas.microsoft.com/office/drawing/2014/main" id="{264FD9C0-C7C0-48E5-8146-30E2DD184D6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6"/>
    <xdr:sp macro="" textlink="">
      <xdr:nvSpPr>
        <xdr:cNvPr id="34" name="AutoShape 1025">
          <a:extLst>
            <a:ext uri="{FF2B5EF4-FFF2-40B4-BE49-F238E27FC236}">
              <a16:creationId xmlns:a16="http://schemas.microsoft.com/office/drawing/2014/main" id="{5DFA9384-B9F0-4E9C-A351-B094508C92A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35" name="AutoShape 1025">
          <a:extLst>
            <a:ext uri="{FF2B5EF4-FFF2-40B4-BE49-F238E27FC236}">
              <a16:creationId xmlns:a16="http://schemas.microsoft.com/office/drawing/2014/main" id="{9A523304-1D20-4B9D-909A-BD8E2D4A1E8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36" name="AutoShape 1025">
          <a:extLst>
            <a:ext uri="{FF2B5EF4-FFF2-40B4-BE49-F238E27FC236}">
              <a16:creationId xmlns:a16="http://schemas.microsoft.com/office/drawing/2014/main" id="{65CD92C9-1A61-4D08-82AE-AB998B08A195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37" name="AutoShape 1014">
          <a:extLst>
            <a:ext uri="{FF2B5EF4-FFF2-40B4-BE49-F238E27FC236}">
              <a16:creationId xmlns:a16="http://schemas.microsoft.com/office/drawing/2014/main" id="{22260285-F90A-4A7A-A22F-1DF82D5DACF8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38" name="AutoShape 1024">
          <a:extLst>
            <a:ext uri="{FF2B5EF4-FFF2-40B4-BE49-F238E27FC236}">
              <a16:creationId xmlns:a16="http://schemas.microsoft.com/office/drawing/2014/main" id="{ABAD9844-86DC-4275-8400-7F96048E53F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171451</xdr:colOff>
      <xdr:row>0</xdr:row>
      <xdr:rowOff>166008</xdr:rowOff>
    </xdr:from>
    <xdr:to>
      <xdr:col>0</xdr:col>
      <xdr:colOff>892629</xdr:colOff>
      <xdr:row>5</xdr:row>
      <xdr:rowOff>68490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F0E3C242-48DA-4F0A-B5E4-13D358897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66008"/>
          <a:ext cx="721178" cy="90260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164</xdr:row>
      <xdr:rowOff>0</xdr:rowOff>
    </xdr:from>
    <xdr:ext cx="304800" cy="306161"/>
    <xdr:sp macro="" textlink="">
      <xdr:nvSpPr>
        <xdr:cNvPr id="40" name="AutoShape 1014">
          <a:extLst>
            <a:ext uri="{FF2B5EF4-FFF2-40B4-BE49-F238E27FC236}">
              <a16:creationId xmlns:a16="http://schemas.microsoft.com/office/drawing/2014/main" id="{0635B8C1-BF43-4487-840E-B494B72759A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6636"/>
    <xdr:sp macro="" textlink="">
      <xdr:nvSpPr>
        <xdr:cNvPr id="41" name="AutoShape 1024">
          <a:extLst>
            <a:ext uri="{FF2B5EF4-FFF2-40B4-BE49-F238E27FC236}">
              <a16:creationId xmlns:a16="http://schemas.microsoft.com/office/drawing/2014/main" id="{F1A69EE4-CFC0-4473-8741-235EFC49E23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42" name="AutoShape 1024">
          <a:extLst>
            <a:ext uri="{FF2B5EF4-FFF2-40B4-BE49-F238E27FC236}">
              <a16:creationId xmlns:a16="http://schemas.microsoft.com/office/drawing/2014/main" id="{FCFB9784-420E-4ADA-8D60-7AEE31914E2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6161"/>
    <xdr:sp macro="" textlink="">
      <xdr:nvSpPr>
        <xdr:cNvPr id="43" name="AutoShape 1025">
          <a:extLst>
            <a:ext uri="{FF2B5EF4-FFF2-40B4-BE49-F238E27FC236}">
              <a16:creationId xmlns:a16="http://schemas.microsoft.com/office/drawing/2014/main" id="{0F89EBBC-AAEC-4AC4-A8CE-2A3AE1F75D7F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44" name="AutoShape 1025">
          <a:extLst>
            <a:ext uri="{FF2B5EF4-FFF2-40B4-BE49-F238E27FC236}">
              <a16:creationId xmlns:a16="http://schemas.microsoft.com/office/drawing/2014/main" id="{37B90985-8702-49ED-98C3-DCBD189CA6F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45" name="AutoShape 1025">
          <a:extLst>
            <a:ext uri="{FF2B5EF4-FFF2-40B4-BE49-F238E27FC236}">
              <a16:creationId xmlns:a16="http://schemas.microsoft.com/office/drawing/2014/main" id="{27EEC50D-C4FF-4C73-8674-EF7464321B59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46" name="AutoShape 1014">
          <a:extLst>
            <a:ext uri="{FF2B5EF4-FFF2-40B4-BE49-F238E27FC236}">
              <a16:creationId xmlns:a16="http://schemas.microsoft.com/office/drawing/2014/main" id="{AB448820-3913-4EE7-81D3-C56F973A63A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47" name="AutoShape 1024">
          <a:extLst>
            <a:ext uri="{FF2B5EF4-FFF2-40B4-BE49-F238E27FC236}">
              <a16:creationId xmlns:a16="http://schemas.microsoft.com/office/drawing/2014/main" id="{BDE5944C-967F-42ED-B543-B06AA9AAEEBA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6161"/>
    <xdr:sp macro="" textlink="">
      <xdr:nvSpPr>
        <xdr:cNvPr id="48" name="AutoShape 1014">
          <a:extLst>
            <a:ext uri="{FF2B5EF4-FFF2-40B4-BE49-F238E27FC236}">
              <a16:creationId xmlns:a16="http://schemas.microsoft.com/office/drawing/2014/main" id="{FA13FCF8-D71B-42EB-8F2B-53B0FCB638F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6636"/>
    <xdr:sp macro="" textlink="">
      <xdr:nvSpPr>
        <xdr:cNvPr id="49" name="AutoShape 1024">
          <a:extLst>
            <a:ext uri="{FF2B5EF4-FFF2-40B4-BE49-F238E27FC236}">
              <a16:creationId xmlns:a16="http://schemas.microsoft.com/office/drawing/2014/main" id="{8779E30E-444D-4D84-92E3-9BC4872146E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50" name="AutoShape 1024">
          <a:extLst>
            <a:ext uri="{FF2B5EF4-FFF2-40B4-BE49-F238E27FC236}">
              <a16:creationId xmlns:a16="http://schemas.microsoft.com/office/drawing/2014/main" id="{052B7B9B-C2E5-42D2-A486-9DF4FEBEC9CD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6161"/>
    <xdr:sp macro="" textlink="">
      <xdr:nvSpPr>
        <xdr:cNvPr id="51" name="AutoShape 1025">
          <a:extLst>
            <a:ext uri="{FF2B5EF4-FFF2-40B4-BE49-F238E27FC236}">
              <a16:creationId xmlns:a16="http://schemas.microsoft.com/office/drawing/2014/main" id="{C22BCF92-5DCF-43DC-B902-92FF016140F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52" name="AutoShape 1025">
          <a:extLst>
            <a:ext uri="{FF2B5EF4-FFF2-40B4-BE49-F238E27FC236}">
              <a16:creationId xmlns:a16="http://schemas.microsoft.com/office/drawing/2014/main" id="{8AA9EFD3-E2EE-48CA-87E9-05E30086828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53" name="AutoShape 1025">
          <a:extLst>
            <a:ext uri="{FF2B5EF4-FFF2-40B4-BE49-F238E27FC236}">
              <a16:creationId xmlns:a16="http://schemas.microsoft.com/office/drawing/2014/main" id="{2D8F3D1D-E6EB-4510-9ED0-95020EFE6C2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54" name="AutoShape 1014">
          <a:extLst>
            <a:ext uri="{FF2B5EF4-FFF2-40B4-BE49-F238E27FC236}">
              <a16:creationId xmlns:a16="http://schemas.microsoft.com/office/drawing/2014/main" id="{F0DC27CF-E3D1-4A26-891E-084F134C66D6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55" name="AutoShape 1024">
          <a:extLst>
            <a:ext uri="{FF2B5EF4-FFF2-40B4-BE49-F238E27FC236}">
              <a16:creationId xmlns:a16="http://schemas.microsoft.com/office/drawing/2014/main" id="{F6939665-1BB0-41F2-8D55-0609E86542E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6161"/>
    <xdr:sp macro="" textlink="">
      <xdr:nvSpPr>
        <xdr:cNvPr id="56" name="AutoShape 1014">
          <a:extLst>
            <a:ext uri="{FF2B5EF4-FFF2-40B4-BE49-F238E27FC236}">
              <a16:creationId xmlns:a16="http://schemas.microsoft.com/office/drawing/2014/main" id="{7F844D12-95FB-4132-ACE4-5BB5B74C01C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6636"/>
    <xdr:sp macro="" textlink="">
      <xdr:nvSpPr>
        <xdr:cNvPr id="57" name="AutoShape 1024">
          <a:extLst>
            <a:ext uri="{FF2B5EF4-FFF2-40B4-BE49-F238E27FC236}">
              <a16:creationId xmlns:a16="http://schemas.microsoft.com/office/drawing/2014/main" id="{6BFFFE0C-1CA1-4844-8C50-8C3C09F675C5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58" name="AutoShape 1024">
          <a:extLst>
            <a:ext uri="{FF2B5EF4-FFF2-40B4-BE49-F238E27FC236}">
              <a16:creationId xmlns:a16="http://schemas.microsoft.com/office/drawing/2014/main" id="{C72A3F4B-216B-494F-B05E-8FDF38FDBB7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6161"/>
    <xdr:sp macro="" textlink="">
      <xdr:nvSpPr>
        <xdr:cNvPr id="59" name="AutoShape 1025">
          <a:extLst>
            <a:ext uri="{FF2B5EF4-FFF2-40B4-BE49-F238E27FC236}">
              <a16:creationId xmlns:a16="http://schemas.microsoft.com/office/drawing/2014/main" id="{C52ADC67-6FDA-4BCD-8477-A24A8774638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60" name="AutoShape 1025">
          <a:extLst>
            <a:ext uri="{FF2B5EF4-FFF2-40B4-BE49-F238E27FC236}">
              <a16:creationId xmlns:a16="http://schemas.microsoft.com/office/drawing/2014/main" id="{3FA2B055-D12D-43CC-AA48-35C7D1D9788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61" name="AutoShape 1025">
          <a:extLst>
            <a:ext uri="{FF2B5EF4-FFF2-40B4-BE49-F238E27FC236}">
              <a16:creationId xmlns:a16="http://schemas.microsoft.com/office/drawing/2014/main" id="{BBE42039-3778-4AD9-AF3B-E44CF7DD0FF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62" name="AutoShape 1014">
          <a:extLst>
            <a:ext uri="{FF2B5EF4-FFF2-40B4-BE49-F238E27FC236}">
              <a16:creationId xmlns:a16="http://schemas.microsoft.com/office/drawing/2014/main" id="{1E34FE41-6F8D-4552-86C0-561734955901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63" name="AutoShape 1024">
          <a:extLst>
            <a:ext uri="{FF2B5EF4-FFF2-40B4-BE49-F238E27FC236}">
              <a16:creationId xmlns:a16="http://schemas.microsoft.com/office/drawing/2014/main" id="{31AB2A5F-9129-4ED6-9E52-A02E0E26575D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64" name="AutoShape 1024">
          <a:extLst>
            <a:ext uri="{FF2B5EF4-FFF2-40B4-BE49-F238E27FC236}">
              <a16:creationId xmlns:a16="http://schemas.microsoft.com/office/drawing/2014/main" id="{F0C58695-37F1-4E38-B111-F57B66369B3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65" name="AutoShape 1025">
          <a:extLst>
            <a:ext uri="{FF2B5EF4-FFF2-40B4-BE49-F238E27FC236}">
              <a16:creationId xmlns:a16="http://schemas.microsoft.com/office/drawing/2014/main" id="{424CBAFC-30A5-4368-8BD4-F019951E4C46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66" name="AutoShape 1025">
          <a:extLst>
            <a:ext uri="{FF2B5EF4-FFF2-40B4-BE49-F238E27FC236}">
              <a16:creationId xmlns:a16="http://schemas.microsoft.com/office/drawing/2014/main" id="{5DF7A500-1978-4A2D-9EAE-096338F2C2DA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67" name="AutoShape 1014">
          <a:extLst>
            <a:ext uri="{FF2B5EF4-FFF2-40B4-BE49-F238E27FC236}">
              <a16:creationId xmlns:a16="http://schemas.microsoft.com/office/drawing/2014/main" id="{2B269369-81E9-4411-B9FC-6CBA9F77CED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68" name="AutoShape 1024">
          <a:extLst>
            <a:ext uri="{FF2B5EF4-FFF2-40B4-BE49-F238E27FC236}">
              <a16:creationId xmlns:a16="http://schemas.microsoft.com/office/drawing/2014/main" id="{03F74510-526D-4D9D-A8B4-E9E5EF8C9CF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6161"/>
    <xdr:sp macro="" textlink="">
      <xdr:nvSpPr>
        <xdr:cNvPr id="69" name="AutoShape 1014">
          <a:extLst>
            <a:ext uri="{FF2B5EF4-FFF2-40B4-BE49-F238E27FC236}">
              <a16:creationId xmlns:a16="http://schemas.microsoft.com/office/drawing/2014/main" id="{72589836-22F5-4F0F-9924-A129B995177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6636"/>
    <xdr:sp macro="" textlink="">
      <xdr:nvSpPr>
        <xdr:cNvPr id="70" name="AutoShape 1024">
          <a:extLst>
            <a:ext uri="{FF2B5EF4-FFF2-40B4-BE49-F238E27FC236}">
              <a16:creationId xmlns:a16="http://schemas.microsoft.com/office/drawing/2014/main" id="{FC94E5C5-98A8-48F0-9C00-5035B876B93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71" name="AutoShape 1024">
          <a:extLst>
            <a:ext uri="{FF2B5EF4-FFF2-40B4-BE49-F238E27FC236}">
              <a16:creationId xmlns:a16="http://schemas.microsoft.com/office/drawing/2014/main" id="{7CA45927-D7FD-4DCA-826D-661351E6F114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6161"/>
    <xdr:sp macro="" textlink="">
      <xdr:nvSpPr>
        <xdr:cNvPr id="72" name="AutoShape 1025">
          <a:extLst>
            <a:ext uri="{FF2B5EF4-FFF2-40B4-BE49-F238E27FC236}">
              <a16:creationId xmlns:a16="http://schemas.microsoft.com/office/drawing/2014/main" id="{BE26C62F-E6B8-42D4-853C-D680ABA1997A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9768"/>
    <xdr:sp macro="" textlink="">
      <xdr:nvSpPr>
        <xdr:cNvPr id="73" name="AutoShape 1025">
          <a:extLst>
            <a:ext uri="{FF2B5EF4-FFF2-40B4-BE49-F238E27FC236}">
              <a16:creationId xmlns:a16="http://schemas.microsoft.com/office/drawing/2014/main" id="{7F22E1F6-0819-4A81-A6DC-9E9EAEA9F2E9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74" name="AutoShape 1025">
          <a:extLst>
            <a:ext uri="{FF2B5EF4-FFF2-40B4-BE49-F238E27FC236}">
              <a16:creationId xmlns:a16="http://schemas.microsoft.com/office/drawing/2014/main" id="{7EA5F4FC-13F7-4891-9FFA-A06691E3181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75" name="AutoShape 1014">
          <a:extLst>
            <a:ext uri="{FF2B5EF4-FFF2-40B4-BE49-F238E27FC236}">
              <a16:creationId xmlns:a16="http://schemas.microsoft.com/office/drawing/2014/main" id="{737DF94C-9BDB-487D-8642-E54026DB6E0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76" name="AutoShape 1024">
          <a:extLst>
            <a:ext uri="{FF2B5EF4-FFF2-40B4-BE49-F238E27FC236}">
              <a16:creationId xmlns:a16="http://schemas.microsoft.com/office/drawing/2014/main" id="{0ACCB0A2-51FD-4A89-B82A-F109C660E678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14325"/>
    <xdr:sp macro="" textlink="">
      <xdr:nvSpPr>
        <xdr:cNvPr id="86" name="AutoShape 1014">
          <a:extLst>
            <a:ext uri="{FF2B5EF4-FFF2-40B4-BE49-F238E27FC236}">
              <a16:creationId xmlns:a16="http://schemas.microsoft.com/office/drawing/2014/main" id="{461CD226-14E9-4B16-B913-47A002A9CE53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09061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4800"/>
    <xdr:sp macro="" textlink="">
      <xdr:nvSpPr>
        <xdr:cNvPr id="87" name="AutoShape 1024">
          <a:extLst>
            <a:ext uri="{FF2B5EF4-FFF2-40B4-BE49-F238E27FC236}">
              <a16:creationId xmlns:a16="http://schemas.microsoft.com/office/drawing/2014/main" id="{1FA9260D-0BBF-440A-9F36-B294A7409AB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0906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4325"/>
    <xdr:sp macro="" textlink="">
      <xdr:nvSpPr>
        <xdr:cNvPr id="90" name="AutoShape 1024">
          <a:extLst>
            <a:ext uri="{FF2B5EF4-FFF2-40B4-BE49-F238E27FC236}">
              <a16:creationId xmlns:a16="http://schemas.microsoft.com/office/drawing/2014/main" id="{CC03881D-7F22-447E-973D-75C4EED839E5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6792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4326"/>
    <xdr:sp macro="" textlink="">
      <xdr:nvSpPr>
        <xdr:cNvPr id="91" name="AutoShape 1025">
          <a:extLst>
            <a:ext uri="{FF2B5EF4-FFF2-40B4-BE49-F238E27FC236}">
              <a16:creationId xmlns:a16="http://schemas.microsoft.com/office/drawing/2014/main" id="{3F903E97-6A6D-44FB-AC72-559EF972BBC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5954375"/>
          <a:ext cx="3048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4325"/>
    <xdr:sp macro="" textlink="">
      <xdr:nvSpPr>
        <xdr:cNvPr id="92" name="AutoShape 1025">
          <a:extLst>
            <a:ext uri="{FF2B5EF4-FFF2-40B4-BE49-F238E27FC236}">
              <a16:creationId xmlns:a16="http://schemas.microsoft.com/office/drawing/2014/main" id="{4066BDFE-239F-414E-9AD8-70DF0CBAD90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67925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93" name="AutoShape 1025">
          <a:extLst>
            <a:ext uri="{FF2B5EF4-FFF2-40B4-BE49-F238E27FC236}">
              <a16:creationId xmlns:a16="http://schemas.microsoft.com/office/drawing/2014/main" id="{2B573C3C-0A2A-4EDD-9181-F0F69404D80A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67925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94" name="AutoShape 1014">
          <a:extLst>
            <a:ext uri="{FF2B5EF4-FFF2-40B4-BE49-F238E27FC236}">
              <a16:creationId xmlns:a16="http://schemas.microsoft.com/office/drawing/2014/main" id="{9A5D2CF1-C7A9-4A3F-8ECF-4D8C50962A3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67925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95" name="AutoShape 1024">
          <a:extLst>
            <a:ext uri="{FF2B5EF4-FFF2-40B4-BE49-F238E27FC236}">
              <a16:creationId xmlns:a16="http://schemas.microsoft.com/office/drawing/2014/main" id="{EF8C8990-2B87-439C-AAD2-59492254028C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679257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4326"/>
    <xdr:sp macro="" textlink="">
      <xdr:nvSpPr>
        <xdr:cNvPr id="100" name="AutoShape 1025">
          <a:extLst>
            <a:ext uri="{FF2B5EF4-FFF2-40B4-BE49-F238E27FC236}">
              <a16:creationId xmlns:a16="http://schemas.microsoft.com/office/drawing/2014/main" id="{51A8A42B-396C-41BF-B0ED-BF3306ABD8F7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5792450"/>
          <a:ext cx="3048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79375</xdr:colOff>
      <xdr:row>131</xdr:row>
      <xdr:rowOff>15875</xdr:rowOff>
    </xdr:from>
    <xdr:to>
      <xdr:col>14</xdr:col>
      <xdr:colOff>251875</xdr:colOff>
      <xdr:row>150</xdr:row>
      <xdr:rowOff>23625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95D1FFE4-B9C8-4833-B3E3-6188FAB60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2375" y="21272500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959625</xdr:colOff>
      <xdr:row>131</xdr:row>
      <xdr:rowOff>23000</xdr:rowOff>
    </xdr:from>
    <xdr:to>
      <xdr:col>9</xdr:col>
      <xdr:colOff>84375</xdr:colOff>
      <xdr:row>150</xdr:row>
      <xdr:rowOff>30750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2C0A109C-0B10-4635-B1BE-9ED9E6A4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6125" y="2127962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792125</xdr:colOff>
      <xdr:row>71</xdr:row>
      <xdr:rowOff>157125</xdr:rowOff>
    </xdr:from>
    <xdr:to>
      <xdr:col>3</xdr:col>
      <xdr:colOff>964625</xdr:colOff>
      <xdr:row>91</xdr:row>
      <xdr:rowOff>6125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62B3FA24-607C-4D4B-9206-CCA4FFF3B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875" y="1187287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958000</xdr:colOff>
      <xdr:row>72</xdr:row>
      <xdr:rowOff>21375</xdr:rowOff>
    </xdr:from>
    <xdr:to>
      <xdr:col>9</xdr:col>
      <xdr:colOff>82750</xdr:colOff>
      <xdr:row>91</xdr:row>
      <xdr:rowOff>29125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EE33552E-71E7-48A0-AA6F-B794C430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4500" y="1189587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60250</xdr:colOff>
      <xdr:row>72</xdr:row>
      <xdr:rowOff>12625</xdr:rowOff>
    </xdr:from>
    <xdr:to>
      <xdr:col>14</xdr:col>
      <xdr:colOff>232750</xdr:colOff>
      <xdr:row>91</xdr:row>
      <xdr:rowOff>20375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C4C9EF56-8897-483A-9805-D84B1321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3250" y="1188712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813500</xdr:colOff>
      <xdr:row>98</xdr:row>
      <xdr:rowOff>130875</xdr:rowOff>
    </xdr:from>
    <xdr:to>
      <xdr:col>3</xdr:col>
      <xdr:colOff>986000</xdr:colOff>
      <xdr:row>117</xdr:row>
      <xdr:rowOff>138625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63A31714-DF24-4017-875D-CB40B05F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250" y="1613287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931750</xdr:colOff>
      <xdr:row>13</xdr:row>
      <xdr:rowOff>11000</xdr:rowOff>
    </xdr:from>
    <xdr:to>
      <xdr:col>9</xdr:col>
      <xdr:colOff>56500</xdr:colOff>
      <xdr:row>32</xdr:row>
      <xdr:rowOff>18750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4E6B0851-8E98-4632-B9E4-5EB2EC91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8250" y="250337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954750</xdr:colOff>
      <xdr:row>39</xdr:row>
      <xdr:rowOff>145125</xdr:rowOff>
    </xdr:from>
    <xdr:to>
      <xdr:col>9</xdr:col>
      <xdr:colOff>79500</xdr:colOff>
      <xdr:row>58</xdr:row>
      <xdr:rowOff>152875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E553F2C5-929C-4931-A351-BE33D3C3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1250" y="6765000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977750</xdr:colOff>
      <xdr:row>98</xdr:row>
      <xdr:rowOff>152250</xdr:rowOff>
    </xdr:from>
    <xdr:to>
      <xdr:col>9</xdr:col>
      <xdr:colOff>102500</xdr:colOff>
      <xdr:row>118</xdr:row>
      <xdr:rowOff>1250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4CBC2B07-2D2F-4BFF-A73B-C0D5DB64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250" y="16154250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826125</xdr:colOff>
      <xdr:row>39</xdr:row>
      <xdr:rowOff>127625</xdr:rowOff>
    </xdr:from>
    <xdr:to>
      <xdr:col>3</xdr:col>
      <xdr:colOff>998625</xdr:colOff>
      <xdr:row>58</xdr:row>
      <xdr:rowOff>135375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F093E5A3-B848-41AA-B318-3F61C229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875" y="6747500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71250</xdr:colOff>
      <xdr:row>13</xdr:row>
      <xdr:rowOff>7750</xdr:rowOff>
    </xdr:from>
    <xdr:to>
      <xdr:col>14</xdr:col>
      <xdr:colOff>243750</xdr:colOff>
      <xdr:row>32</xdr:row>
      <xdr:rowOff>15500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CC3954D8-E2E9-41B8-9669-31C27D19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250" y="250012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792750</xdr:colOff>
      <xdr:row>130</xdr:row>
      <xdr:rowOff>157750</xdr:rowOff>
    </xdr:from>
    <xdr:to>
      <xdr:col>3</xdr:col>
      <xdr:colOff>965250</xdr:colOff>
      <xdr:row>150</xdr:row>
      <xdr:rowOff>6750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BAA14329-342E-42CA-A11E-5B9B3CF97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500" y="2125562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85500</xdr:colOff>
      <xdr:row>39</xdr:row>
      <xdr:rowOff>149000</xdr:rowOff>
    </xdr:from>
    <xdr:to>
      <xdr:col>14</xdr:col>
      <xdr:colOff>258000</xdr:colOff>
      <xdr:row>58</xdr:row>
      <xdr:rowOff>156750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7EFFE7F0-F748-4D92-A64F-A1973CA7E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500" y="676887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92625</xdr:colOff>
      <xdr:row>98</xdr:row>
      <xdr:rowOff>156125</xdr:rowOff>
    </xdr:from>
    <xdr:to>
      <xdr:col>14</xdr:col>
      <xdr:colOff>265125</xdr:colOff>
      <xdr:row>118</xdr:row>
      <xdr:rowOff>5125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492074AC-5DFB-4E00-832A-E1767E06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5625" y="16158125"/>
          <a:ext cx="2268000" cy="30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814125</xdr:colOff>
      <xdr:row>12</xdr:row>
      <xdr:rowOff>147375</xdr:rowOff>
    </xdr:from>
    <xdr:to>
      <xdr:col>3</xdr:col>
      <xdr:colOff>986625</xdr:colOff>
      <xdr:row>31</xdr:row>
      <xdr:rowOff>155125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AE6EC571-2F0A-4D82-8445-AF215096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875" y="2481000"/>
          <a:ext cx="2268000" cy="3024000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68</xdr:row>
      <xdr:rowOff>0</xdr:rowOff>
    </xdr:from>
    <xdr:ext cx="304800" cy="301625"/>
    <xdr:sp macro="" textlink="">
      <xdr:nvSpPr>
        <xdr:cNvPr id="131" name="AutoShape 1014">
          <a:extLst>
            <a:ext uri="{FF2B5EF4-FFF2-40B4-BE49-F238E27FC236}">
              <a16:creationId xmlns:a16="http://schemas.microsoft.com/office/drawing/2014/main" id="{C2759AD2-4DF0-42A2-9AAD-786A4F56E0C9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8573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2100"/>
    <xdr:sp macro="" textlink="">
      <xdr:nvSpPr>
        <xdr:cNvPr id="132" name="AutoShape 1024">
          <a:extLst>
            <a:ext uri="{FF2B5EF4-FFF2-40B4-BE49-F238E27FC236}">
              <a16:creationId xmlns:a16="http://schemas.microsoft.com/office/drawing/2014/main" id="{CA082E90-9A99-4E8A-95B2-F91817BDFB23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85737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355480</xdr:colOff>
      <xdr:row>71</xdr:row>
      <xdr:rowOff>129904</xdr:rowOff>
    </xdr:from>
    <xdr:to>
      <xdr:col>5</xdr:col>
      <xdr:colOff>383605</xdr:colOff>
      <xdr:row>91</xdr:row>
      <xdr:rowOff>14904</xdr:rowOff>
    </xdr:to>
    <xdr:sp macro="" textlink="">
      <xdr:nvSpPr>
        <xdr:cNvPr id="133" name="Retângulo 132">
          <a:extLst>
            <a:ext uri="{FF2B5EF4-FFF2-40B4-BE49-F238E27FC236}">
              <a16:creationId xmlns:a16="http://schemas.microsoft.com/office/drawing/2014/main" id="{FA0D6FC0-EFFA-4C49-AC9E-4967A45B77B4}"/>
            </a:ext>
          </a:extLst>
        </xdr:cNvPr>
        <xdr:cNvSpPr/>
      </xdr:nvSpPr>
      <xdr:spPr>
        <a:xfrm>
          <a:off x="355480" y="2463529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353124</xdr:colOff>
      <xdr:row>91</xdr:row>
      <xdr:rowOff>118562</xdr:rowOff>
    </xdr:from>
    <xdr:to>
      <xdr:col>5</xdr:col>
      <xdr:colOff>381249</xdr:colOff>
      <xdr:row>95</xdr:row>
      <xdr:rowOff>5515</xdr:rowOff>
    </xdr:to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0261F61B-E482-4098-A3E2-F0198422D439}"/>
            </a:ext>
          </a:extLst>
        </xdr:cNvPr>
        <xdr:cNvSpPr txBox="1"/>
      </xdr:nvSpPr>
      <xdr:spPr>
        <a:xfrm>
          <a:off x="353124" y="5627187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07 - Estrutura atual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126</xdr:row>
      <xdr:rowOff>0</xdr:rowOff>
    </xdr:from>
    <xdr:ext cx="304800" cy="317500"/>
    <xdr:sp macro="" textlink="">
      <xdr:nvSpPr>
        <xdr:cNvPr id="135" name="AutoShape 1024">
          <a:extLst>
            <a:ext uri="{FF2B5EF4-FFF2-40B4-BE49-F238E27FC236}">
              <a16:creationId xmlns:a16="http://schemas.microsoft.com/office/drawing/2014/main" id="{7EE1956D-DCB9-4D1A-A80A-9FD13A1FD393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304800" cy="301626"/>
    <xdr:sp macro="" textlink="">
      <xdr:nvSpPr>
        <xdr:cNvPr id="136" name="AutoShape 1025">
          <a:extLst>
            <a:ext uri="{FF2B5EF4-FFF2-40B4-BE49-F238E27FC236}">
              <a16:creationId xmlns:a16="http://schemas.microsoft.com/office/drawing/2014/main" id="{E6FA3E37-90BD-4D22-94CD-C50C26DB117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6778625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17500"/>
    <xdr:sp macro="" textlink="">
      <xdr:nvSpPr>
        <xdr:cNvPr id="137" name="AutoShape 1025">
          <a:extLst>
            <a:ext uri="{FF2B5EF4-FFF2-40B4-BE49-F238E27FC236}">
              <a16:creationId xmlns:a16="http://schemas.microsoft.com/office/drawing/2014/main" id="{737D8D92-9581-4028-9E5A-F7251FE07E8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01625"/>
    <xdr:sp macro="" textlink="">
      <xdr:nvSpPr>
        <xdr:cNvPr id="138" name="AutoShape 1025">
          <a:extLst>
            <a:ext uri="{FF2B5EF4-FFF2-40B4-BE49-F238E27FC236}">
              <a16:creationId xmlns:a16="http://schemas.microsoft.com/office/drawing/2014/main" id="{BA0E4C84-3817-4AC7-856F-2D6141E1ACFD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126</xdr:row>
      <xdr:rowOff>0</xdr:rowOff>
    </xdr:from>
    <xdr:ext cx="304800" cy="301625"/>
    <xdr:sp macro="" textlink="">
      <xdr:nvSpPr>
        <xdr:cNvPr id="139" name="AutoShape 1014">
          <a:extLst>
            <a:ext uri="{FF2B5EF4-FFF2-40B4-BE49-F238E27FC236}">
              <a16:creationId xmlns:a16="http://schemas.microsoft.com/office/drawing/2014/main" id="{3C2D9DDB-CDA8-4F4C-A477-D6D0D147153B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10648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292100"/>
    <xdr:sp macro="" textlink="">
      <xdr:nvSpPr>
        <xdr:cNvPr id="140" name="AutoShape 1024">
          <a:extLst>
            <a:ext uri="{FF2B5EF4-FFF2-40B4-BE49-F238E27FC236}">
              <a16:creationId xmlns:a16="http://schemas.microsoft.com/office/drawing/2014/main" id="{0C845508-A067-4840-B6BA-1E3D80FBAC2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518769</xdr:colOff>
      <xdr:row>71</xdr:row>
      <xdr:rowOff>139430</xdr:rowOff>
    </xdr:from>
    <xdr:to>
      <xdr:col>10</xdr:col>
      <xdr:colOff>546894</xdr:colOff>
      <xdr:row>91</xdr:row>
      <xdr:rowOff>24430</xdr:rowOff>
    </xdr:to>
    <xdr:sp macro="" textlink="">
      <xdr:nvSpPr>
        <xdr:cNvPr id="141" name="Retângulo 140">
          <a:extLst>
            <a:ext uri="{FF2B5EF4-FFF2-40B4-BE49-F238E27FC236}">
              <a16:creationId xmlns:a16="http://schemas.microsoft.com/office/drawing/2014/main" id="{8833E5D0-2815-44F0-AD8D-D2D11169F963}"/>
            </a:ext>
          </a:extLst>
        </xdr:cNvPr>
        <xdr:cNvSpPr/>
      </xdr:nvSpPr>
      <xdr:spPr>
        <a:xfrm>
          <a:off x="5757519" y="2473055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516413</xdr:colOff>
      <xdr:row>91</xdr:row>
      <xdr:rowOff>128088</xdr:rowOff>
    </xdr:from>
    <xdr:to>
      <xdr:col>10</xdr:col>
      <xdr:colOff>544538</xdr:colOff>
      <xdr:row>95</xdr:row>
      <xdr:rowOff>15041</xdr:rowOff>
    </xdr:to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E074FB60-C1A4-4C08-9B17-FDAE07B95B01}"/>
            </a:ext>
          </a:extLst>
        </xdr:cNvPr>
        <xdr:cNvSpPr txBox="1"/>
      </xdr:nvSpPr>
      <xdr:spPr>
        <a:xfrm>
          <a:off x="5755163" y="5636713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08 - Estrutura atual</a:t>
          </a:r>
          <a:r>
            <a:rPr lang="pt-BR" sz="1200" b="1" baseline="0">
              <a:latin typeface="Arial Narrow" panose="020B0606020202030204" pitchFamily="34" charset="0"/>
              <a:cs typeface="Arial" panose="020B0604020202020204" pitchFamily="34" charset="0"/>
            </a:rPr>
            <a:t>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698377</xdr:colOff>
      <xdr:row>71</xdr:row>
      <xdr:rowOff>142151</xdr:rowOff>
    </xdr:from>
    <xdr:to>
      <xdr:col>15</xdr:col>
      <xdr:colOff>726502</xdr:colOff>
      <xdr:row>91</xdr:row>
      <xdr:rowOff>27151</xdr:rowOff>
    </xdr:to>
    <xdr:sp macro="" textlink="">
      <xdr:nvSpPr>
        <xdr:cNvPr id="143" name="Retângulo 142">
          <a:extLst>
            <a:ext uri="{FF2B5EF4-FFF2-40B4-BE49-F238E27FC236}">
              <a16:creationId xmlns:a16="http://schemas.microsoft.com/office/drawing/2014/main" id="{0DB76B1A-83B9-43E7-B092-95843A94D458}"/>
            </a:ext>
          </a:extLst>
        </xdr:cNvPr>
        <xdr:cNvSpPr/>
      </xdr:nvSpPr>
      <xdr:spPr>
        <a:xfrm>
          <a:off x="11175877" y="2475776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10</xdr:col>
      <xdr:colOff>696021</xdr:colOff>
      <xdr:row>91</xdr:row>
      <xdr:rowOff>130809</xdr:rowOff>
    </xdr:from>
    <xdr:to>
      <xdr:col>15</xdr:col>
      <xdr:colOff>724146</xdr:colOff>
      <xdr:row>95</xdr:row>
      <xdr:rowOff>17762</xdr:rowOff>
    </xdr:to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883E82D4-71CF-4262-B551-9076B7D567E6}"/>
            </a:ext>
          </a:extLst>
        </xdr:cNvPr>
        <xdr:cNvSpPr txBox="1"/>
      </xdr:nvSpPr>
      <xdr:spPr>
        <a:xfrm>
          <a:off x="11173521" y="5639434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09 -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Estrutura atual</a:t>
          </a:r>
          <a:r>
            <a:rPr lang="pt-BR" sz="12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371808</xdr:colOff>
      <xdr:row>98</xdr:row>
      <xdr:rowOff>119014</xdr:rowOff>
    </xdr:from>
    <xdr:to>
      <xdr:col>5</xdr:col>
      <xdr:colOff>399933</xdr:colOff>
      <xdr:row>118</xdr:row>
      <xdr:rowOff>4014</xdr:rowOff>
    </xdr:to>
    <xdr:sp macro="" textlink="">
      <xdr:nvSpPr>
        <xdr:cNvPr id="145" name="Retângulo 144">
          <a:extLst>
            <a:ext uri="{FF2B5EF4-FFF2-40B4-BE49-F238E27FC236}">
              <a16:creationId xmlns:a16="http://schemas.microsoft.com/office/drawing/2014/main" id="{08CBBB45-64A5-4CF2-8182-55AF8A7AE3A1}"/>
            </a:ext>
          </a:extLst>
        </xdr:cNvPr>
        <xdr:cNvSpPr/>
      </xdr:nvSpPr>
      <xdr:spPr>
        <a:xfrm>
          <a:off x="371808" y="6738889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369452</xdr:colOff>
      <xdr:row>118</xdr:row>
      <xdr:rowOff>107673</xdr:rowOff>
    </xdr:from>
    <xdr:to>
      <xdr:col>5</xdr:col>
      <xdr:colOff>397577</xdr:colOff>
      <xdr:row>121</xdr:row>
      <xdr:rowOff>153375</xdr:rowOff>
    </xdr:to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3035BD90-5CDA-4260-A4E0-C7F033AFB595}"/>
            </a:ext>
          </a:extLst>
        </xdr:cNvPr>
        <xdr:cNvSpPr txBox="1"/>
      </xdr:nvSpPr>
      <xdr:spPr>
        <a:xfrm>
          <a:off x="369452" y="9902548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10 - Estrutura atual</a:t>
          </a:r>
          <a:r>
            <a:rPr lang="pt-BR" sz="1200" b="1" baseline="0">
              <a:latin typeface="Arial Narrow" panose="020B0606020202030204" pitchFamily="34" charset="0"/>
              <a:cs typeface="Arial" panose="020B0604020202020204" pitchFamily="34" charset="0"/>
            </a:rPr>
            <a:t>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535097</xdr:colOff>
      <xdr:row>98</xdr:row>
      <xdr:rowOff>128540</xdr:rowOff>
    </xdr:from>
    <xdr:to>
      <xdr:col>10</xdr:col>
      <xdr:colOff>563222</xdr:colOff>
      <xdr:row>118</xdr:row>
      <xdr:rowOff>13540</xdr:rowOff>
    </xdr:to>
    <xdr:sp macro="" textlink="">
      <xdr:nvSpPr>
        <xdr:cNvPr id="147" name="Retângulo 146">
          <a:extLst>
            <a:ext uri="{FF2B5EF4-FFF2-40B4-BE49-F238E27FC236}">
              <a16:creationId xmlns:a16="http://schemas.microsoft.com/office/drawing/2014/main" id="{26F75391-CFE6-4D52-808E-DD1C6416E55B}"/>
            </a:ext>
          </a:extLst>
        </xdr:cNvPr>
        <xdr:cNvSpPr/>
      </xdr:nvSpPr>
      <xdr:spPr>
        <a:xfrm>
          <a:off x="5773847" y="6748415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532741</xdr:colOff>
      <xdr:row>118</xdr:row>
      <xdr:rowOff>117199</xdr:rowOff>
    </xdr:from>
    <xdr:to>
      <xdr:col>10</xdr:col>
      <xdr:colOff>560866</xdr:colOff>
      <xdr:row>122</xdr:row>
      <xdr:rowOff>4151</xdr:rowOff>
    </xdr:to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B7DD1F10-B09F-40E0-837E-58E416201772}"/>
            </a:ext>
          </a:extLst>
        </xdr:cNvPr>
        <xdr:cNvSpPr txBox="1"/>
      </xdr:nvSpPr>
      <xdr:spPr>
        <a:xfrm>
          <a:off x="5771491" y="9912074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11 -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Estrutura atual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714705</xdr:colOff>
      <xdr:row>98</xdr:row>
      <xdr:rowOff>131261</xdr:rowOff>
    </xdr:from>
    <xdr:to>
      <xdr:col>15</xdr:col>
      <xdr:colOff>742830</xdr:colOff>
      <xdr:row>118</xdr:row>
      <xdr:rowOff>16261</xdr:rowOff>
    </xdr:to>
    <xdr:sp macro="" textlink="">
      <xdr:nvSpPr>
        <xdr:cNvPr id="149" name="Retângulo 148">
          <a:extLst>
            <a:ext uri="{FF2B5EF4-FFF2-40B4-BE49-F238E27FC236}">
              <a16:creationId xmlns:a16="http://schemas.microsoft.com/office/drawing/2014/main" id="{CF726CF0-7318-402F-9BB9-D7E36B9D6486}"/>
            </a:ext>
          </a:extLst>
        </xdr:cNvPr>
        <xdr:cNvSpPr/>
      </xdr:nvSpPr>
      <xdr:spPr>
        <a:xfrm>
          <a:off x="11192205" y="6751136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10</xdr:col>
      <xdr:colOff>712349</xdr:colOff>
      <xdr:row>118</xdr:row>
      <xdr:rowOff>119920</xdr:rowOff>
    </xdr:from>
    <xdr:to>
      <xdr:col>15</xdr:col>
      <xdr:colOff>740474</xdr:colOff>
      <xdr:row>122</xdr:row>
      <xdr:rowOff>6872</xdr:rowOff>
    </xdr:to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E1C73EB9-F3F7-49A1-ABD2-3A3DD4E25868}"/>
            </a:ext>
          </a:extLst>
        </xdr:cNvPr>
        <xdr:cNvSpPr txBox="1"/>
      </xdr:nvSpPr>
      <xdr:spPr>
        <a:xfrm>
          <a:off x="11189849" y="9914795"/>
          <a:ext cx="5266875" cy="52195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12 -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Estrutura atual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126</xdr:row>
      <xdr:rowOff>0</xdr:rowOff>
    </xdr:from>
    <xdr:ext cx="304800" cy="317500"/>
    <xdr:sp macro="" textlink="">
      <xdr:nvSpPr>
        <xdr:cNvPr id="157" name="AutoShape 1024">
          <a:extLst>
            <a:ext uri="{FF2B5EF4-FFF2-40B4-BE49-F238E27FC236}">
              <a16:creationId xmlns:a16="http://schemas.microsoft.com/office/drawing/2014/main" id="{893CA7A8-C383-4F26-99D0-15846EF1ECA1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17500"/>
    <xdr:sp macro="" textlink="">
      <xdr:nvSpPr>
        <xdr:cNvPr id="158" name="AutoShape 1025">
          <a:extLst>
            <a:ext uri="{FF2B5EF4-FFF2-40B4-BE49-F238E27FC236}">
              <a16:creationId xmlns:a16="http://schemas.microsoft.com/office/drawing/2014/main" id="{C26ACBD6-44FD-4E69-92DD-20B47909053B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301625"/>
    <xdr:sp macro="" textlink="">
      <xdr:nvSpPr>
        <xdr:cNvPr id="159" name="AutoShape 1025">
          <a:extLst>
            <a:ext uri="{FF2B5EF4-FFF2-40B4-BE49-F238E27FC236}">
              <a16:creationId xmlns:a16="http://schemas.microsoft.com/office/drawing/2014/main" id="{78C93715-D37A-49CF-AE11-2B39E7FF14C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126</xdr:row>
      <xdr:rowOff>0</xdr:rowOff>
    </xdr:from>
    <xdr:ext cx="304800" cy="301625"/>
    <xdr:sp macro="" textlink="">
      <xdr:nvSpPr>
        <xdr:cNvPr id="160" name="AutoShape 1014">
          <a:extLst>
            <a:ext uri="{FF2B5EF4-FFF2-40B4-BE49-F238E27FC236}">
              <a16:creationId xmlns:a16="http://schemas.microsoft.com/office/drawing/2014/main" id="{7F6E230D-0F41-4FC9-8957-8688FA7119BF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1064875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304800" cy="292100"/>
    <xdr:sp macro="" textlink="">
      <xdr:nvSpPr>
        <xdr:cNvPr id="161" name="AutoShape 1024">
          <a:extLst>
            <a:ext uri="{FF2B5EF4-FFF2-40B4-BE49-F238E27FC236}">
              <a16:creationId xmlns:a16="http://schemas.microsoft.com/office/drawing/2014/main" id="{58D41796-1E26-4C3F-8D83-677A395C2BF6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064875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127</xdr:row>
      <xdr:rowOff>0</xdr:rowOff>
    </xdr:from>
    <xdr:ext cx="304800" cy="301625"/>
    <xdr:sp macro="" textlink="">
      <xdr:nvSpPr>
        <xdr:cNvPr id="162" name="AutoShape 1014">
          <a:extLst>
            <a:ext uri="{FF2B5EF4-FFF2-40B4-BE49-F238E27FC236}">
              <a16:creationId xmlns:a16="http://schemas.microsoft.com/office/drawing/2014/main" id="{49A93DE8-CF2D-4C07-93D5-58030056E840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112395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127</xdr:row>
      <xdr:rowOff>0</xdr:rowOff>
    </xdr:from>
    <xdr:ext cx="304800" cy="292100"/>
    <xdr:sp macro="" textlink="">
      <xdr:nvSpPr>
        <xdr:cNvPr id="163" name="AutoShape 1024">
          <a:extLst>
            <a:ext uri="{FF2B5EF4-FFF2-40B4-BE49-F238E27FC236}">
              <a16:creationId xmlns:a16="http://schemas.microsoft.com/office/drawing/2014/main" id="{1F43381F-7496-47AE-A1BD-F86CC116DE3F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12395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355480</xdr:colOff>
      <xdr:row>130</xdr:row>
      <xdr:rowOff>129904</xdr:rowOff>
    </xdr:from>
    <xdr:to>
      <xdr:col>5</xdr:col>
      <xdr:colOff>383605</xdr:colOff>
      <xdr:row>150</xdr:row>
      <xdr:rowOff>14904</xdr:rowOff>
    </xdr:to>
    <xdr:sp macro="" textlink="">
      <xdr:nvSpPr>
        <xdr:cNvPr id="164" name="Retângulo 163">
          <a:extLst>
            <a:ext uri="{FF2B5EF4-FFF2-40B4-BE49-F238E27FC236}">
              <a16:creationId xmlns:a16="http://schemas.microsoft.com/office/drawing/2014/main" id="{78D0B365-47A8-4254-81E0-DB81DCF1594C}"/>
            </a:ext>
          </a:extLst>
        </xdr:cNvPr>
        <xdr:cNvSpPr/>
      </xdr:nvSpPr>
      <xdr:spPr>
        <a:xfrm>
          <a:off x="355480" y="11845654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353124</xdr:colOff>
      <xdr:row>150</xdr:row>
      <xdr:rowOff>118562</xdr:rowOff>
    </xdr:from>
    <xdr:to>
      <xdr:col>5</xdr:col>
      <xdr:colOff>381249</xdr:colOff>
      <xdr:row>154</xdr:row>
      <xdr:rowOff>5515</xdr:rowOff>
    </xdr:to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5D4C9980-30AB-4B2E-9E67-FA0AD5E5EF88}"/>
            </a:ext>
          </a:extLst>
        </xdr:cNvPr>
        <xdr:cNvSpPr txBox="1"/>
      </xdr:nvSpPr>
      <xdr:spPr>
        <a:xfrm>
          <a:off x="353124" y="15009312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13 - Estrutura atual</a:t>
          </a:r>
          <a:r>
            <a:rPr lang="pt-BR" sz="1200" b="1" baseline="0">
              <a:latin typeface="Arial Narrow" panose="020B0606020202030204" pitchFamily="34" charset="0"/>
              <a:cs typeface="Arial" panose="020B0604020202020204" pitchFamily="34" charset="0"/>
            </a:rPr>
            <a:t>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164</xdr:row>
      <xdr:rowOff>0</xdr:rowOff>
    </xdr:from>
    <xdr:ext cx="304800" cy="317500"/>
    <xdr:sp macro="" textlink="">
      <xdr:nvSpPr>
        <xdr:cNvPr id="166" name="AutoShape 1024">
          <a:extLst>
            <a:ext uri="{FF2B5EF4-FFF2-40B4-BE49-F238E27FC236}">
              <a16:creationId xmlns:a16="http://schemas.microsoft.com/office/drawing/2014/main" id="{A79D63AE-9B67-4939-9AF9-221540CB4397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0447000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6"/>
    <xdr:sp macro="" textlink="">
      <xdr:nvSpPr>
        <xdr:cNvPr id="167" name="AutoShape 1025">
          <a:extLst>
            <a:ext uri="{FF2B5EF4-FFF2-40B4-BE49-F238E27FC236}">
              <a16:creationId xmlns:a16="http://schemas.microsoft.com/office/drawing/2014/main" id="{888909CA-1968-425C-8C4C-6FA647A9C40A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6160750"/>
          <a:ext cx="304800" cy="30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17500"/>
    <xdr:sp macro="" textlink="">
      <xdr:nvSpPr>
        <xdr:cNvPr id="168" name="AutoShape 1025">
          <a:extLst>
            <a:ext uri="{FF2B5EF4-FFF2-40B4-BE49-F238E27FC236}">
              <a16:creationId xmlns:a16="http://schemas.microsoft.com/office/drawing/2014/main" id="{A3C3BF8F-43F6-48FB-9991-DEF269FA58C6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0447000"/>
          <a:ext cx="304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301625"/>
    <xdr:sp macro="" textlink="">
      <xdr:nvSpPr>
        <xdr:cNvPr id="169" name="AutoShape 1025">
          <a:extLst>
            <a:ext uri="{FF2B5EF4-FFF2-40B4-BE49-F238E27FC236}">
              <a16:creationId xmlns:a16="http://schemas.microsoft.com/office/drawing/2014/main" id="{8AEFB063-AA5E-49DF-8FF4-A2B7242365C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04470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164</xdr:row>
      <xdr:rowOff>0</xdr:rowOff>
    </xdr:from>
    <xdr:ext cx="304800" cy="301625"/>
    <xdr:sp macro="" textlink="">
      <xdr:nvSpPr>
        <xdr:cNvPr id="170" name="AutoShape 1014">
          <a:extLst>
            <a:ext uri="{FF2B5EF4-FFF2-40B4-BE49-F238E27FC236}">
              <a16:creationId xmlns:a16="http://schemas.microsoft.com/office/drawing/2014/main" id="{49F60C4D-FCC5-4ED3-97B2-8962A3DE15C5}"/>
            </a:ext>
          </a:extLst>
        </xdr:cNvPr>
        <xdr:cNvSpPr>
          <a:spLocks noChangeAspect="1" noChangeArrowheads="1"/>
        </xdr:cNvSpPr>
      </xdr:nvSpPr>
      <xdr:spPr bwMode="auto">
        <a:xfrm>
          <a:off x="11525250" y="204470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292100"/>
    <xdr:sp macro="" textlink="">
      <xdr:nvSpPr>
        <xdr:cNvPr id="171" name="AutoShape 1024">
          <a:extLst>
            <a:ext uri="{FF2B5EF4-FFF2-40B4-BE49-F238E27FC236}">
              <a16:creationId xmlns:a16="http://schemas.microsoft.com/office/drawing/2014/main" id="{F49909BA-E7B0-4327-9BAD-AD3AAEC78D12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04470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518769</xdr:colOff>
      <xdr:row>130</xdr:row>
      <xdr:rowOff>139430</xdr:rowOff>
    </xdr:from>
    <xdr:to>
      <xdr:col>10</xdr:col>
      <xdr:colOff>546894</xdr:colOff>
      <xdr:row>150</xdr:row>
      <xdr:rowOff>24430</xdr:rowOff>
    </xdr:to>
    <xdr:sp macro="" textlink="">
      <xdr:nvSpPr>
        <xdr:cNvPr id="172" name="Retângulo 171">
          <a:extLst>
            <a:ext uri="{FF2B5EF4-FFF2-40B4-BE49-F238E27FC236}">
              <a16:creationId xmlns:a16="http://schemas.microsoft.com/office/drawing/2014/main" id="{163B379B-BFAD-48F1-BE82-C7256A9D936A}"/>
            </a:ext>
          </a:extLst>
        </xdr:cNvPr>
        <xdr:cNvSpPr/>
      </xdr:nvSpPr>
      <xdr:spPr>
        <a:xfrm>
          <a:off x="5757519" y="11855180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516413</xdr:colOff>
      <xdr:row>150</xdr:row>
      <xdr:rowOff>128088</xdr:rowOff>
    </xdr:from>
    <xdr:to>
      <xdr:col>10</xdr:col>
      <xdr:colOff>544538</xdr:colOff>
      <xdr:row>154</xdr:row>
      <xdr:rowOff>15041</xdr:rowOff>
    </xdr:to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87874186-1360-41F5-A3F4-B911059A1413}"/>
            </a:ext>
          </a:extLst>
        </xdr:cNvPr>
        <xdr:cNvSpPr txBox="1"/>
      </xdr:nvSpPr>
      <xdr:spPr>
        <a:xfrm>
          <a:off x="5755163" y="15018838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14 - Estrutura atual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698377</xdr:colOff>
      <xdr:row>130</xdr:row>
      <xdr:rowOff>142151</xdr:rowOff>
    </xdr:from>
    <xdr:to>
      <xdr:col>15</xdr:col>
      <xdr:colOff>726502</xdr:colOff>
      <xdr:row>150</xdr:row>
      <xdr:rowOff>27151</xdr:rowOff>
    </xdr:to>
    <xdr:sp macro="" textlink="">
      <xdr:nvSpPr>
        <xdr:cNvPr id="174" name="Retângulo 173">
          <a:extLst>
            <a:ext uri="{FF2B5EF4-FFF2-40B4-BE49-F238E27FC236}">
              <a16:creationId xmlns:a16="http://schemas.microsoft.com/office/drawing/2014/main" id="{0821EDC8-84C9-4162-AE19-581F6DD2FDA2}"/>
            </a:ext>
          </a:extLst>
        </xdr:cNvPr>
        <xdr:cNvSpPr/>
      </xdr:nvSpPr>
      <xdr:spPr>
        <a:xfrm>
          <a:off x="11175877" y="11857901"/>
          <a:ext cx="5266875" cy="3060000"/>
        </a:xfrm>
        <a:prstGeom prst="rect">
          <a:avLst/>
        </a:prstGeom>
        <a:noFill/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10</xdr:col>
      <xdr:colOff>696021</xdr:colOff>
      <xdr:row>150</xdr:row>
      <xdr:rowOff>130809</xdr:rowOff>
    </xdr:from>
    <xdr:to>
      <xdr:col>15</xdr:col>
      <xdr:colOff>724146</xdr:colOff>
      <xdr:row>154</xdr:row>
      <xdr:rowOff>17762</xdr:rowOff>
    </xdr:to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DAEBC784-0146-4031-A635-9FD4E1D353B6}"/>
            </a:ext>
          </a:extLst>
        </xdr:cNvPr>
        <xdr:cNvSpPr txBox="1"/>
      </xdr:nvSpPr>
      <xdr:spPr>
        <a:xfrm>
          <a:off x="11173521" y="15021559"/>
          <a:ext cx="5266875" cy="52195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latin typeface="Arial Narrow" panose="020B0606020202030204" pitchFamily="34" charset="0"/>
              <a:cs typeface="Arial" panose="020B0604020202020204" pitchFamily="34" charset="0"/>
            </a:rPr>
            <a:t>Foto 15 - </a:t>
          </a:r>
          <a:r>
            <a:rPr lang="pt-BR" sz="12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Estrutura atual da UBS</a:t>
          </a:r>
          <a:endParaRPr lang="pt-BR" sz="1200" b="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159</xdr:row>
      <xdr:rowOff>0</xdr:rowOff>
    </xdr:from>
    <xdr:ext cx="304800" cy="314326"/>
    <xdr:sp macro="" textlink="">
      <xdr:nvSpPr>
        <xdr:cNvPr id="182" name="AutoShape 1025">
          <a:extLst>
            <a:ext uri="{FF2B5EF4-FFF2-40B4-BE49-F238E27FC236}">
              <a16:creationId xmlns:a16="http://schemas.microsoft.com/office/drawing/2014/main" id="{FF86F4A0-D80C-4888-8ECD-8A89F0576C3E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6068000"/>
          <a:ext cx="3048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304800" cy="314326"/>
    <xdr:sp macro="" textlink="">
      <xdr:nvSpPr>
        <xdr:cNvPr id="183" name="AutoShape 1025">
          <a:extLst>
            <a:ext uri="{FF2B5EF4-FFF2-40B4-BE49-F238E27FC236}">
              <a16:creationId xmlns:a16="http://schemas.microsoft.com/office/drawing/2014/main" id="{DEEEFB41-97DD-4E8B-8D31-5B97AA5939D5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5909250"/>
          <a:ext cx="3048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184897</xdr:colOff>
      <xdr:row>1</xdr:row>
      <xdr:rowOff>15688</xdr:rowOff>
    </xdr:from>
    <xdr:to>
      <xdr:col>0</xdr:col>
      <xdr:colOff>661147</xdr:colOff>
      <xdr:row>4</xdr:row>
      <xdr:rowOff>114113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F0A484-904A-4B3B-AEB1-E0B8AA675B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" y="177613"/>
          <a:ext cx="476250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1613647</xdr:colOff>
      <xdr:row>149</xdr:row>
      <xdr:rowOff>116541</xdr:rowOff>
    </xdr:from>
    <xdr:to>
      <xdr:col>3</xdr:col>
      <xdr:colOff>4349227</xdr:colOff>
      <xdr:row>154</xdr:row>
      <xdr:rowOff>157331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BAD586D-45DA-4C2A-8B85-0D196D24F663}"/>
            </a:ext>
          </a:extLst>
        </xdr:cNvPr>
        <xdr:cNvSpPr txBox="1"/>
      </xdr:nvSpPr>
      <xdr:spPr>
        <a:xfrm>
          <a:off x="4132729" y="35141647"/>
          <a:ext cx="2735580" cy="937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________________________________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Paulo Mateus Silva Repolho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Comissão de Divisão de Topografia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Engenheiro Civil - SEMINFRA</a:t>
          </a:r>
        </a:p>
        <a:p>
          <a:pPr algn="ctr"/>
          <a:r>
            <a:rPr lang="pt-BR" sz="1000">
              <a:latin typeface="Arial Narrow" panose="020B0606020202030204" pitchFamily="34" charset="0"/>
              <a:cs typeface="Arial" panose="020B0604020202020204" pitchFamily="34" charset="0"/>
            </a:rPr>
            <a:t>CREA nº: 1522367381PA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581025</xdr:colOff>
      <xdr:row>5</xdr:row>
      <xdr:rowOff>34738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977EF0-B120-4EE4-BDA0-D0444EF01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466725" cy="682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SEMSA/LICITA&#199;&#195;O%20-%20REFORMA%20OBSTETRICIA/COMPOSI&#199;&#195;O%20BD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&#233;bora%20Esc&#243;cio/Desktop/DEBORA%20COMPUTADOR/SEMSA/LICITA&#199;&#195;O%20-%20REFORMA%20OBSTETRICIA/COMPOSI&#199;&#195;O%20BD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&#233;bora%20Esc&#243;cio/Desktop/DEBORA%20COMPUTADOR/SEMSA/LICITA&#199;&#195;O%20-%20REFORMA%20OBSTETRICIA/LICITA&#199;&#195;O%20OBSTETR&#205;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&#233;bora%20Esc&#243;cio/Desktop/SEMSA/LICITA&#199;&#195;O%20-%20CONSTRU&#199;&#195;O%20MATINHA/LICITA&#199;&#195;O%20UBS%20MATIN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TRACAPA"/>
      <sheetName val="SINTÉTICO"/>
      <sheetName val="CPU"/>
      <sheetName val="MEMÓRIA"/>
      <sheetName val="CRONOGRAMA"/>
      <sheetName val="BDI"/>
      <sheetName val="ENCARGOS SOCIAIS"/>
      <sheetName val="RELATÓRIO FOTOGRÁFICO"/>
    </sheetNames>
    <sheetDataSet>
      <sheetData sheetId="0" refreshError="1"/>
      <sheetData sheetId="1" refreshError="1"/>
      <sheetData sheetId="2" refreshError="1"/>
      <sheetData sheetId="3" refreshError="1">
        <row r="9">
          <cell r="A9">
            <v>1</v>
          </cell>
          <cell r="B9"/>
          <cell r="C9"/>
          <cell r="D9" t="str">
            <v>SERVIÇOS PRELIMINARES</v>
          </cell>
          <cell r="E9"/>
          <cell r="F9"/>
          <cell r="G9"/>
          <cell r="H9"/>
          <cell r="I9">
            <v>19258.27</v>
          </cell>
        </row>
        <row r="10">
          <cell r="A10" t="str">
            <v>1.1</v>
          </cell>
          <cell r="B10" t="str">
            <v xml:space="preserve"> 74209/001 </v>
          </cell>
          <cell r="C10" t="str">
            <v>SINAPI</v>
          </cell>
          <cell r="D10" t="str">
            <v>PLACA DE OBRA EM CHAPA DE ACO GALVANIZADO</v>
          </cell>
          <cell r="E10" t="str">
            <v>m²</v>
          </cell>
          <cell r="F10">
            <v>6</v>
          </cell>
          <cell r="G10">
            <v>318.07</v>
          </cell>
          <cell r="H10">
            <v>402.93</v>
          </cell>
          <cell r="I10">
            <v>2417.58</v>
          </cell>
        </row>
        <row r="11">
          <cell r="A11" t="str">
            <v>1.2</v>
          </cell>
          <cell r="B11" t="str">
            <v xml:space="preserve"> 93584 </v>
          </cell>
          <cell r="C11" t="str">
            <v>SINAPI</v>
          </cell>
          <cell r="D11" t="str">
            <v>EXECUÇÃO DE DEPÓSITO EM CANTEIRO DE OBRA EM CHAPA DE MADEIRA COMPENSADA, NÃO INCLUSO MOBILIÁRIO. AF_04/2016</v>
          </cell>
          <cell r="E11" t="str">
            <v>m²</v>
          </cell>
          <cell r="F11">
            <v>12</v>
          </cell>
          <cell r="G11">
            <v>748.53</v>
          </cell>
          <cell r="H11">
            <v>948.23</v>
          </cell>
          <cell r="I11">
            <v>11378.76</v>
          </cell>
        </row>
        <row r="12">
          <cell r="A12" t="str">
            <v>1.3</v>
          </cell>
          <cell r="B12" t="str">
            <v xml:space="preserve"> 010003 </v>
          </cell>
          <cell r="C12" t="str">
            <v>SEDOP</v>
          </cell>
          <cell r="D12" t="str">
            <v>Tapume c/ chapa de madeirit e=10mm (h=2.20m)</v>
          </cell>
          <cell r="E12" t="str">
            <v>m²</v>
          </cell>
          <cell r="F12">
            <v>51.63</v>
          </cell>
          <cell r="G12">
            <v>83.51</v>
          </cell>
          <cell r="H12">
            <v>105.79</v>
          </cell>
          <cell r="I12">
            <v>5461.93</v>
          </cell>
        </row>
        <row r="13">
          <cell r="A13">
            <v>2</v>
          </cell>
          <cell r="B13"/>
          <cell r="C13"/>
          <cell r="D13" t="str">
            <v>DEMOLIÇÕES E RETIRADAS</v>
          </cell>
          <cell r="E13"/>
          <cell r="F13"/>
          <cell r="G13"/>
          <cell r="H13"/>
          <cell r="I13">
            <v>11672.87</v>
          </cell>
        </row>
        <row r="14">
          <cell r="A14" t="str">
            <v>2.1</v>
          </cell>
          <cell r="B14" t="str">
            <v xml:space="preserve"> 97634 </v>
          </cell>
          <cell r="C14" t="str">
            <v>SINAPI</v>
          </cell>
          <cell r="D14" t="str">
            <v>DEMOLIÇÃO DE REVESTIMENTO CERÂMICO, DE FORMA MECANIZADA COM MARTELETE, SEM REAPROVEITAMENTO. AF_12/2017</v>
          </cell>
          <cell r="E14" t="str">
            <v>m²</v>
          </cell>
          <cell r="F14">
            <v>243.08</v>
          </cell>
          <cell r="G14">
            <v>8.75</v>
          </cell>
          <cell r="H14">
            <v>11.08</v>
          </cell>
          <cell r="I14">
            <v>2693.32</v>
          </cell>
        </row>
        <row r="15">
          <cell r="A15" t="str">
            <v>2.2</v>
          </cell>
          <cell r="B15" t="str">
            <v xml:space="preserve"> 97645 </v>
          </cell>
          <cell r="C15" t="str">
            <v>SINAPI</v>
          </cell>
          <cell r="D15" t="str">
            <v>REMOÇÃO DE JANELAS, DE FORMA MANUAL, SEM REAPROVEITAMENTO. AF_12/2017</v>
          </cell>
          <cell r="E15" t="str">
            <v>m²</v>
          </cell>
          <cell r="F15">
            <v>16</v>
          </cell>
          <cell r="G15">
            <v>22.81</v>
          </cell>
          <cell r="H15">
            <v>28.89</v>
          </cell>
          <cell r="I15">
            <v>462.24</v>
          </cell>
        </row>
        <row r="16">
          <cell r="A16" t="str">
            <v>2.3</v>
          </cell>
          <cell r="B16" t="str">
            <v xml:space="preserve"> 97644 </v>
          </cell>
          <cell r="C16" t="str">
            <v>SINAPI</v>
          </cell>
          <cell r="D16" t="str">
            <v>REMOÇÃO DE PORTAS, DE FORMA MANUAL, SEM REAPROVEITAMENTO. AF_12/2017</v>
          </cell>
          <cell r="E16" t="str">
            <v>m²</v>
          </cell>
          <cell r="F16">
            <v>20</v>
          </cell>
          <cell r="G16">
            <v>6.36</v>
          </cell>
          <cell r="H16">
            <v>8.0500000000000007</v>
          </cell>
          <cell r="I16">
            <v>161</v>
          </cell>
        </row>
        <row r="17">
          <cell r="A17" t="str">
            <v>2.4</v>
          </cell>
          <cell r="B17" t="str">
            <v xml:space="preserve"> 97647 </v>
          </cell>
          <cell r="C17" t="str">
            <v>SINAPI</v>
          </cell>
          <cell r="D17" t="str">
            <v>REMOÇÃO DE TELHAS, DE FIBROCIMENTO, METÁLICA E CERÂMICA, DE FORMA MANUAL, SEM REAPROVEITAMENTO. AF_12/2017</v>
          </cell>
          <cell r="E17" t="str">
            <v>m²</v>
          </cell>
          <cell r="F17">
            <v>880.54</v>
          </cell>
          <cell r="G17">
            <v>2.38</v>
          </cell>
          <cell r="H17">
            <v>3.01</v>
          </cell>
          <cell r="I17">
            <v>2650.42</v>
          </cell>
        </row>
        <row r="18">
          <cell r="A18" t="str">
            <v>2.5</v>
          </cell>
          <cell r="B18" t="str">
            <v xml:space="preserve"> 97650 </v>
          </cell>
          <cell r="C18" t="str">
            <v>SINAPI</v>
          </cell>
          <cell r="D18" t="str">
            <v>REMOÇÃO DE TRAMA DE MADEIRA PARA COBERTURA, DE FORMA MANUAL, SEM REAPROVEITAMENTO. AF_12/2017</v>
          </cell>
          <cell r="E18" t="str">
            <v>m²</v>
          </cell>
          <cell r="F18">
            <v>880.54</v>
          </cell>
          <cell r="G18">
            <v>5.12</v>
          </cell>
          <cell r="H18">
            <v>6.48</v>
          </cell>
          <cell r="I18">
            <v>5705.89</v>
          </cell>
        </row>
        <row r="19">
          <cell r="A19">
            <v>3</v>
          </cell>
          <cell r="B19"/>
          <cell r="C19"/>
          <cell r="D19" t="str">
            <v>REVESTIMENTO DE PISO</v>
          </cell>
          <cell r="E19"/>
          <cell r="F19"/>
          <cell r="G19"/>
          <cell r="H19"/>
          <cell r="I19">
            <v>47965.09</v>
          </cell>
        </row>
        <row r="20">
          <cell r="A20" t="str">
            <v>3.1</v>
          </cell>
          <cell r="B20" t="str">
            <v xml:space="preserve"> 87640 </v>
          </cell>
          <cell r="C20" t="str">
            <v>SINAPI</v>
          </cell>
          <cell r="D20" t="str">
            <v>CONTRAPISO EM ARGAMASSA TRAÇO 1:4 (CIMENTO E AREIA), PREPARO MECÂNICO COM BETONEIRA 400 L, APLICADO EM ÁREAS SECAS SOBRE LAJE, ADERIDO, ACABAMENTO NÃO REFORÇADO, ESPESSURA 4CM. AF_07/2021</v>
          </cell>
          <cell r="E20" t="str">
            <v>m²</v>
          </cell>
          <cell r="F20">
            <v>243.08</v>
          </cell>
          <cell r="G20">
            <v>40.99</v>
          </cell>
          <cell r="H20">
            <v>51.92</v>
          </cell>
          <cell r="I20">
            <v>12620.71</v>
          </cell>
        </row>
        <row r="21">
          <cell r="A21" t="str">
            <v>3.2</v>
          </cell>
          <cell r="B21" t="str">
            <v xml:space="preserve"> 84191 </v>
          </cell>
          <cell r="C21" t="str">
            <v>SINAPI</v>
          </cell>
          <cell r="D21" t="str">
            <v>PISO EM GRANILITE, MARMORITE OU GRANITINA ESPESSURA 8 MM, INCLUSO JUNTAS DE DILATACAO PLASTICAS</v>
          </cell>
          <cell r="E21" t="str">
            <v>m²</v>
          </cell>
          <cell r="F21">
            <v>225.38</v>
          </cell>
          <cell r="G21">
            <v>118.12</v>
          </cell>
          <cell r="H21">
            <v>149.63</v>
          </cell>
          <cell r="I21">
            <v>33723.599999999999</v>
          </cell>
        </row>
        <row r="22">
          <cell r="A22" t="str">
            <v>3.3</v>
          </cell>
          <cell r="B22" t="str">
            <v xml:space="preserve"> 98555 </v>
          </cell>
          <cell r="C22" t="str">
            <v>SINAPI</v>
          </cell>
          <cell r="D22" t="str">
            <v>IMPERMEABILIZAÇÃO DE SUPERFÍCIE COM ARGAMASSA POLIMÉRICA / MEMBRANA ACRÍLICA, 3 DEMÃOS. AF_06/2018</v>
          </cell>
          <cell r="E22" t="str">
            <v>m²</v>
          </cell>
          <cell r="F22">
            <v>17.7</v>
          </cell>
          <cell r="G22">
            <v>23.17</v>
          </cell>
          <cell r="H22">
            <v>29.35</v>
          </cell>
          <cell r="I22">
            <v>519.49</v>
          </cell>
        </row>
        <row r="23">
          <cell r="A23" t="str">
            <v>3.4</v>
          </cell>
          <cell r="B23" t="str">
            <v xml:space="preserve"> 93390 </v>
          </cell>
          <cell r="C23" t="str">
            <v>SINAPI</v>
          </cell>
          <cell r="D23" t="str">
            <v>REVESTIMENTO CERÂMICO PARA PISO COM PLACAS TIPO ESMALTADA PADRÃO POPULAR DE DIMENSÕES 35X35 CM APLICADA EM AMBIENTES DE ÁREA ENTRE 5 M2 E 10 M2. AF_06/2014</v>
          </cell>
          <cell r="E23" t="str">
            <v>m²</v>
          </cell>
          <cell r="F23">
            <v>17.7</v>
          </cell>
          <cell r="G23">
            <v>49.12</v>
          </cell>
          <cell r="H23">
            <v>62.22</v>
          </cell>
          <cell r="I23">
            <v>1101.29</v>
          </cell>
        </row>
        <row r="24">
          <cell r="A24">
            <v>4</v>
          </cell>
          <cell r="B24"/>
          <cell r="C24"/>
          <cell r="D24" t="str">
            <v>REVESTIMENTO DE TETO</v>
          </cell>
          <cell r="E24"/>
          <cell r="F24"/>
          <cell r="G24"/>
          <cell r="H24"/>
          <cell r="I24">
            <v>10739.26</v>
          </cell>
        </row>
        <row r="25">
          <cell r="A25" t="str">
            <v>4.1</v>
          </cell>
          <cell r="B25" t="str">
            <v xml:space="preserve"> 96135 </v>
          </cell>
          <cell r="C25" t="str">
            <v>SINAPI</v>
          </cell>
          <cell r="D25" t="str">
            <v>APLICAÇÃO MANUAL DE MASSA ACRÍLICA EM PAREDES EXTERNAS DE CASAS, DUAS DEMÃOS. AF_05/2017</v>
          </cell>
          <cell r="E25" t="str">
            <v>m²</v>
          </cell>
          <cell r="F25">
            <v>243.08</v>
          </cell>
          <cell r="G25">
            <v>18.41</v>
          </cell>
          <cell r="H25">
            <v>23.32</v>
          </cell>
          <cell r="I25">
            <v>5668.62</v>
          </cell>
        </row>
        <row r="26">
          <cell r="A26" t="str">
            <v>4.2</v>
          </cell>
          <cell r="B26" t="str">
            <v xml:space="preserve"> 88484 </v>
          </cell>
          <cell r="C26" t="str">
            <v>SINAPI</v>
          </cell>
          <cell r="D26" t="str">
            <v>APLICAÇÃO DE FUNDO SELADOR ACRÍLICO EM TETO, UMA DEMÃO. AF_06/2014</v>
          </cell>
          <cell r="E26" t="str">
            <v>m²</v>
          </cell>
          <cell r="F26">
            <v>243.08</v>
          </cell>
          <cell r="G26">
            <v>2.41</v>
          </cell>
          <cell r="H26">
            <v>3.05</v>
          </cell>
          <cell r="I26">
            <v>741.39</v>
          </cell>
        </row>
        <row r="27">
          <cell r="A27" t="str">
            <v>4.3</v>
          </cell>
          <cell r="B27" t="str">
            <v xml:space="preserve"> 88488 </v>
          </cell>
          <cell r="C27" t="str">
            <v>SINAPI</v>
          </cell>
          <cell r="D27" t="str">
            <v>APLICAÇÃO MANUAL DE PINTURA COM TINTA LÁTEX ACRÍLICA EM TETO, DUAS DEMÃOS. AF_06/2014</v>
          </cell>
          <cell r="E27" t="str">
            <v>m²</v>
          </cell>
          <cell r="F27">
            <v>243.08</v>
          </cell>
          <cell r="G27">
            <v>14.06</v>
          </cell>
          <cell r="H27">
            <v>17.809999999999999</v>
          </cell>
          <cell r="I27">
            <v>4329.25</v>
          </cell>
        </row>
        <row r="28">
          <cell r="A28">
            <v>5</v>
          </cell>
          <cell r="B28"/>
          <cell r="C28"/>
          <cell r="D28" t="str">
            <v>REVESTIMENTO DE PAREDE</v>
          </cell>
          <cell r="E28"/>
          <cell r="F28"/>
          <cell r="G28"/>
          <cell r="H28"/>
          <cell r="I28">
            <v>50178.68</v>
          </cell>
        </row>
        <row r="29">
          <cell r="A29" t="str">
            <v>5.1</v>
          </cell>
          <cell r="B29" t="str">
            <v xml:space="preserve"> 96135 </v>
          </cell>
          <cell r="C29" t="str">
            <v>SINAPI</v>
          </cell>
          <cell r="D29" t="str">
            <v>APLICAÇÃO MANUAL DE MASSA ACRÍLICA EM PAREDES EXTERNAS DE CASAS, DUAS DEMÃOS. AF_05/2017</v>
          </cell>
          <cell r="E29" t="str">
            <v>m²</v>
          </cell>
          <cell r="F29">
            <v>1114.97</v>
          </cell>
          <cell r="G29">
            <v>18.41</v>
          </cell>
          <cell r="H29">
            <v>23.32</v>
          </cell>
          <cell r="I29">
            <v>26001.1</v>
          </cell>
        </row>
        <row r="30">
          <cell r="A30" t="str">
            <v>5.2</v>
          </cell>
          <cell r="B30" t="str">
            <v xml:space="preserve"> 88485 </v>
          </cell>
          <cell r="C30" t="str">
            <v>SINAPI</v>
          </cell>
          <cell r="D30" t="str">
            <v>APLICAÇÃO DE FUNDO SELADOR ACRÍLICO EM PAREDES, UMA DEMÃO. AF_06/2014</v>
          </cell>
          <cell r="E30" t="str">
            <v>m²</v>
          </cell>
          <cell r="F30">
            <v>1114.97</v>
          </cell>
          <cell r="G30">
            <v>2.1</v>
          </cell>
          <cell r="H30">
            <v>2.66</v>
          </cell>
          <cell r="I30">
            <v>2965.82</v>
          </cell>
        </row>
        <row r="31">
          <cell r="A31" t="str">
            <v>5.3</v>
          </cell>
          <cell r="B31" t="str">
            <v xml:space="preserve"> 88489 </v>
          </cell>
          <cell r="C31" t="str">
            <v>SINAPI</v>
          </cell>
          <cell r="D31" t="str">
            <v>APLICAÇÃO MANUAL DE PINTURA COM TINTA LÁTEX ACRÍLICA EM PAREDES, DUAS DEMÃOS. AF_06/2014</v>
          </cell>
          <cell r="E31" t="str">
            <v>m²</v>
          </cell>
          <cell r="F31">
            <v>1114.97</v>
          </cell>
          <cell r="G31">
            <v>12.61</v>
          </cell>
          <cell r="H31">
            <v>15.97</v>
          </cell>
          <cell r="I31">
            <v>17806.07</v>
          </cell>
        </row>
        <row r="32">
          <cell r="A32" t="str">
            <v>5.4</v>
          </cell>
          <cell r="B32" t="str">
            <v xml:space="preserve"> 93395 </v>
          </cell>
          <cell r="C32" t="str">
            <v>SINAPI</v>
          </cell>
          <cell r="D32" t="str">
            <v>REVESTIMENTO CERÂMICO PARA PAREDES INTERNAS COM PLACAS TIPO ESMALTADA PADRÃO POPULAR DE DIMENSÕES 20X20 CM, ARGAMASSA TIPO AC I, APLICADAS EM AMBIENTES DE ÁREA MAIOR QUE 5 M2 A MEIA ALTURA DAS PAREDES. AF_06/2014</v>
          </cell>
          <cell r="E32" t="str">
            <v>m²</v>
          </cell>
          <cell r="F32">
            <v>51.43</v>
          </cell>
          <cell r="G32">
            <v>52.28</v>
          </cell>
          <cell r="H32">
            <v>66.22</v>
          </cell>
          <cell r="I32">
            <v>3405.69</v>
          </cell>
        </row>
        <row r="33">
          <cell r="A33">
            <v>6</v>
          </cell>
          <cell r="B33"/>
          <cell r="C33"/>
          <cell r="D33" t="str">
            <v>COBERTURA</v>
          </cell>
          <cell r="E33"/>
          <cell r="F33"/>
          <cell r="G33"/>
          <cell r="H33"/>
          <cell r="I33">
            <v>107218.44</v>
          </cell>
        </row>
        <row r="34">
          <cell r="A34" t="str">
            <v>6.1</v>
          </cell>
          <cell r="B34" t="str">
            <v xml:space="preserve"> 94207 </v>
          </cell>
          <cell r="C34" t="str">
            <v>SINAPI</v>
          </cell>
          <cell r="D34" t="str">
            <v>TELHAMENTO COM TELHA ONDULADA DE FIBROCIMENTO E = 6 MM, COM RECOBRIMENTO LATERAL DE 1/4 DE ONDA PARA TELHADO COM INCLINAÇÃO MAIOR QUE 10°, COM ATÉ 2 ÁGUAS, INCLUSO IÇAMENTO. AF_07/2019</v>
          </cell>
          <cell r="E34" t="str">
            <v>m²</v>
          </cell>
          <cell r="F34">
            <v>880.54</v>
          </cell>
          <cell r="G34">
            <v>58.05</v>
          </cell>
          <cell r="H34">
            <v>73.53</v>
          </cell>
          <cell r="I34">
            <v>64746.1</v>
          </cell>
        </row>
        <row r="35">
          <cell r="A35" t="str">
            <v>6.2</v>
          </cell>
          <cell r="B35" t="str">
            <v xml:space="preserve"> 92543 </v>
          </cell>
          <cell r="C35" t="str">
            <v>SINAPI</v>
          </cell>
          <cell r="D35" t="str">
            <v>TRAMA DE MADEIRA COMPOSTA POR TERÇAS PARA TELHADOS DE ATÉ 2 ÁGUAS PARA TELHA ONDULADA DE FIBROCIMENTO, METÁLICA, PLÁSTICA OU TERMOACÚSTICA, INCLUSO TRANSPORTE VERTICAL. AF_07/2019</v>
          </cell>
          <cell r="E35" t="str">
            <v>m²</v>
          </cell>
          <cell r="F35">
            <v>880.54</v>
          </cell>
          <cell r="G35">
            <v>18.27</v>
          </cell>
          <cell r="H35">
            <v>23.14</v>
          </cell>
          <cell r="I35">
            <v>20375.689999999999</v>
          </cell>
        </row>
        <row r="36">
          <cell r="A36" t="str">
            <v>6.3</v>
          </cell>
          <cell r="B36" t="str">
            <v xml:space="preserve"> 102233 </v>
          </cell>
          <cell r="C36" t="str">
            <v>SINAPI</v>
          </cell>
          <cell r="D36" t="str">
            <v>PINTURA IMUNIZANTE PARA MADEIRA, 1 DEMÃO. AF_01/2021</v>
          </cell>
          <cell r="E36" t="str">
            <v>m²</v>
          </cell>
          <cell r="F36">
            <v>880.54</v>
          </cell>
          <cell r="G36">
            <v>8.06</v>
          </cell>
          <cell r="H36">
            <v>10.210000000000001</v>
          </cell>
          <cell r="I36">
            <v>8990.31</v>
          </cell>
        </row>
        <row r="37">
          <cell r="A37" t="str">
            <v>6.4</v>
          </cell>
          <cell r="B37" t="str">
            <v xml:space="preserve"> 100434 </v>
          </cell>
          <cell r="C37" t="str">
            <v>SINAPI</v>
          </cell>
          <cell r="D37" t="str">
            <v>CALHA DE BEIRAL, SEMICIRCULAR DE PVC, DIAMETRO 125 MM, INCLUINDO CABECEIRAS, EMENDAS, BOCAIS, SUPORTES E VEDAÇÕES, EXCLUINDO CONDUTORES, INCLUSO TRANSPORTE VERTICAL. AF_07/2019</v>
          </cell>
          <cell r="E37" t="str">
            <v>M</v>
          </cell>
          <cell r="F37">
            <v>173.64</v>
          </cell>
          <cell r="G37">
            <v>59.59</v>
          </cell>
          <cell r="H37">
            <v>75.48</v>
          </cell>
          <cell r="I37">
            <v>13106.34</v>
          </cell>
        </row>
        <row r="38">
          <cell r="A38">
            <v>7</v>
          </cell>
          <cell r="B38"/>
          <cell r="C38"/>
          <cell r="D38" t="str">
            <v>ESQUADRIAS</v>
          </cell>
          <cell r="E38"/>
          <cell r="F38"/>
          <cell r="G38"/>
          <cell r="H38"/>
          <cell r="I38">
            <v>21483.96</v>
          </cell>
        </row>
        <row r="39">
          <cell r="A39" t="str">
            <v>7.1</v>
          </cell>
          <cell r="B39" t="str">
            <v xml:space="preserve"> 90841 </v>
          </cell>
          <cell r="C39" t="str">
            <v>SINAPI</v>
          </cell>
          <cell r="D39" t="str">
            <v>KIT DE PORTA DE MADEIRA PARA PINTURA, SEMI-OCA (LEVE OU MÉDIA), PADRÃO MÉDIO, 60X210CM, ESPESSURA DE 3,5CM, ITENS INCLUSOS: DOBRADIÇAS, MONTAGEM E INSTALAÇÃO DO BATENTE, FECHADURA COM EXECUÇÃO DO FURO - FORNECIMENTO E INSTALAÇÃO. AF_12/2019</v>
          </cell>
          <cell r="E39" t="str">
            <v>UN</v>
          </cell>
          <cell r="F39">
            <v>5</v>
          </cell>
          <cell r="G39">
            <v>699.75</v>
          </cell>
          <cell r="H39">
            <v>886.44</v>
          </cell>
          <cell r="I39">
            <v>4432.2</v>
          </cell>
        </row>
        <row r="40">
          <cell r="A40" t="str">
            <v>7.2</v>
          </cell>
          <cell r="B40" t="str">
            <v xml:space="preserve"> 90842 </v>
          </cell>
          <cell r="C40" t="str">
            <v>SINAPI</v>
          </cell>
          <cell r="D40" t="str">
            <v>KIT DE PORTA DE MADEIRA PARA PINTURA, SEMI-OCA (LEVE OU MÉDIA), PADRÃO MÉDIO, 70X210CM, ESPESSURA DE 3,5CM, ITENS INCLUSOS: DOBRADIÇAS, MONTAGEM E INSTALAÇÃO DO BATENTE, FECHADURA COM EXECUÇÃO DO FURO - FORNECIMENTO E INSTALAÇÃO. AF_12/2019</v>
          </cell>
          <cell r="E40" t="str">
            <v>UN</v>
          </cell>
          <cell r="F40">
            <v>2</v>
          </cell>
          <cell r="G40">
            <v>705.97</v>
          </cell>
          <cell r="H40">
            <v>894.32</v>
          </cell>
          <cell r="I40">
            <v>1788.64</v>
          </cell>
        </row>
        <row r="41">
          <cell r="A41" t="str">
            <v>7.3</v>
          </cell>
          <cell r="B41" t="str">
            <v xml:space="preserve"> 90843 </v>
          </cell>
          <cell r="C41" t="str">
            <v>SINAPI</v>
          </cell>
          <cell r="D41" t="str">
            <v>KIT DE PORTA DE MADEIRA PARA PINTURA, SEMI-OCA (LEVE OU MÉDIA), PADRÃO MÉDIO, 80X210CM, ESPESSURA DE 3,5CM, ITENS INCLUSOS: DOBRADIÇAS, MONTAGEM E INSTALAÇÃO DO BATENTE, FECHADURA COM EXECUÇÃO DO FURO - FORNECIMENTO E INSTALAÇÃO. AF_12/2019</v>
          </cell>
          <cell r="E41" t="str">
            <v>UN</v>
          </cell>
          <cell r="F41">
            <v>1</v>
          </cell>
          <cell r="G41">
            <v>740.36</v>
          </cell>
          <cell r="H41">
            <v>937.88</v>
          </cell>
          <cell r="I41">
            <v>937.88</v>
          </cell>
        </row>
        <row r="42">
          <cell r="A42" t="str">
            <v>7.4</v>
          </cell>
          <cell r="B42" t="str">
            <v xml:space="preserve"> 90844 </v>
          </cell>
          <cell r="C42" t="str">
            <v>SINAPI</v>
          </cell>
          <cell r="D42" t="str">
            <v>KIT DE PORTA DE MADEIRA PARA PINTURA, SEMI-OCA (LEVE OU MÉDIA), PADRÃO MÉDIO, 90X210CM, ESPESSURA DE 3,5CM, ITENS INCLUSOS: DOBRADIÇAS, MONTAGEM E INSTALAÇÃO DO BATENTE, FECHADURA COM EXECUÇÃO DO FURO - FORNECIMENTO E INSTALAÇÃO. AF_12/2019</v>
          </cell>
          <cell r="E42" t="str">
            <v>UN</v>
          </cell>
          <cell r="F42">
            <v>4</v>
          </cell>
          <cell r="G42">
            <v>801.36</v>
          </cell>
          <cell r="H42">
            <v>1015.16</v>
          </cell>
          <cell r="I42">
            <v>4060.64</v>
          </cell>
        </row>
        <row r="43">
          <cell r="A43" t="str">
            <v>7.5</v>
          </cell>
          <cell r="B43" t="str">
            <v xml:space="preserve"> 102218 </v>
          </cell>
          <cell r="C43" t="str">
            <v>SINAPI</v>
          </cell>
          <cell r="D43" t="str">
            <v>PINTURA TINTA DE ACABAMENTO (PIGMENTADA) ESMALTE SINTÉTICO FOSCO EM MADEIRA, 2 DEMÃOS. AF_01/2021</v>
          </cell>
          <cell r="E43" t="str">
            <v>m²</v>
          </cell>
          <cell r="F43">
            <v>63.42</v>
          </cell>
          <cell r="G43">
            <v>10.91</v>
          </cell>
          <cell r="H43">
            <v>13.82</v>
          </cell>
          <cell r="I43">
            <v>876.46</v>
          </cell>
        </row>
        <row r="44">
          <cell r="A44" t="str">
            <v>7.6</v>
          </cell>
          <cell r="B44" t="str">
            <v xml:space="preserve"> 091379 </v>
          </cell>
          <cell r="C44" t="str">
            <v>SEDOP</v>
          </cell>
          <cell r="D44" t="str">
            <v>Porta em vidro temperado c/ ferragens -(sem mola)</v>
          </cell>
          <cell r="E44" t="str">
            <v>m²</v>
          </cell>
          <cell r="F44">
            <v>4.2</v>
          </cell>
          <cell r="G44">
            <v>562.84</v>
          </cell>
          <cell r="H44">
            <v>713</v>
          </cell>
          <cell r="I44">
            <v>2994.6</v>
          </cell>
        </row>
        <row r="45">
          <cell r="A45" t="str">
            <v>7.7</v>
          </cell>
          <cell r="B45" t="str">
            <v xml:space="preserve"> 94570 </v>
          </cell>
          <cell r="C45" t="str">
            <v>SINAPI</v>
          </cell>
          <cell r="D45" t="str">
            <v>JANELA DE ALUMÍNIO DE CORRER COM 2 FOLHAS PARA VIDROS, COM VIDROS, BATENTE, ACABAMENTO COM ACETATO OU BRILHANTE E FERRAGENS. EXCLUSIVE ALIZAR E CONTRAMARCO. FORNECIMENTO E INSTALAÇÃO. AF_12/2019</v>
          </cell>
          <cell r="E45" t="str">
            <v>m²</v>
          </cell>
          <cell r="F45">
            <v>14.92</v>
          </cell>
          <cell r="G45">
            <v>239.21</v>
          </cell>
          <cell r="H45">
            <v>303.02999999999997</v>
          </cell>
          <cell r="I45">
            <v>4521.2</v>
          </cell>
        </row>
        <row r="46">
          <cell r="A46" t="str">
            <v>7.8</v>
          </cell>
          <cell r="B46" t="str">
            <v xml:space="preserve"> 94569 </v>
          </cell>
          <cell r="C46" t="str">
            <v>SINAPI</v>
          </cell>
          <cell r="D46" t="str">
            <v>JANELA DE ALUMÍNIO TIPO MAXIM-AR, COM VIDROS, BATENTE E FERRAGENS. EXCLUSIVE ALIZAR, ACABAMENTO E CONTRAMARCO. FORNECIMENTO E INSTALAÇÃO. AF_12/2019</v>
          </cell>
          <cell r="E46" t="str">
            <v>m²</v>
          </cell>
          <cell r="F46">
            <v>3.84</v>
          </cell>
          <cell r="G46">
            <v>384.9</v>
          </cell>
          <cell r="H46">
            <v>487.59</v>
          </cell>
          <cell r="I46">
            <v>1872.34</v>
          </cell>
        </row>
        <row r="47">
          <cell r="A47">
            <v>8</v>
          </cell>
          <cell r="B47"/>
          <cell r="C47"/>
          <cell r="D47" t="str">
            <v>INSTALAÇÕES HIDROSSANITÁRIAS</v>
          </cell>
          <cell r="E47"/>
          <cell r="F47"/>
          <cell r="G47"/>
          <cell r="H47"/>
          <cell r="I47">
            <v>21965.56</v>
          </cell>
        </row>
        <row r="48">
          <cell r="A48" t="str">
            <v>8.1</v>
          </cell>
          <cell r="B48"/>
          <cell r="C48"/>
          <cell r="D48" t="str">
            <v>LOUÇAS E EQUIPAMENTOS DIVERSOS</v>
          </cell>
          <cell r="E48"/>
          <cell r="F48"/>
          <cell r="G48"/>
          <cell r="H48"/>
          <cell r="I48">
            <v>7405.33</v>
          </cell>
        </row>
        <row r="49">
          <cell r="A49" t="str">
            <v>8.1.1</v>
          </cell>
          <cell r="B49" t="str">
            <v xml:space="preserve"> 86888 </v>
          </cell>
          <cell r="C49" t="str">
            <v>SINAPI</v>
          </cell>
          <cell r="D49" t="str">
            <v>VASO SANITÁRIO SIFONADO COM CAIXA ACOPLADA LOUÇA BRANCA - FORNECIMENTO E INSTALAÇÃO. AF_01/2020</v>
          </cell>
          <cell r="E49" t="str">
            <v>UN</v>
          </cell>
          <cell r="F49">
            <v>7</v>
          </cell>
          <cell r="G49">
            <v>294.14</v>
          </cell>
          <cell r="H49">
            <v>372.61</v>
          </cell>
          <cell r="I49">
            <v>2608.27</v>
          </cell>
        </row>
        <row r="50">
          <cell r="A50" t="str">
            <v>8.1.2</v>
          </cell>
          <cell r="B50" t="str">
            <v xml:space="preserve"> 86903 </v>
          </cell>
          <cell r="C50" t="str">
            <v>SINAPI</v>
          </cell>
          <cell r="D50" t="str">
            <v>LAVATÓRIO LOUÇA BRANCA COM COLUNA, 45 X 55CM OU EQUIVALENTE, PADRÃO MÉDIO - FORNECIMENTO E INSTALAÇÃO. AF_01/2020</v>
          </cell>
          <cell r="E50" t="str">
            <v>UN</v>
          </cell>
          <cell r="F50">
            <v>7</v>
          </cell>
          <cell r="G50">
            <v>222.02</v>
          </cell>
          <cell r="H50">
            <v>281.25</v>
          </cell>
          <cell r="I50">
            <v>1968.75</v>
          </cell>
        </row>
        <row r="51">
          <cell r="A51" t="str">
            <v>8.1.3</v>
          </cell>
          <cell r="B51" t="str">
            <v xml:space="preserve"> CP012 </v>
          </cell>
          <cell r="C51" t="str">
            <v>Próprio</v>
          </cell>
          <cell r="D51" t="str">
            <v>BANCADA/BANCA/PIA DE ACO INOXIDAVEL (AISI 430) COM 1 CUBA CENTRAL, COM VALVULA, LISA (SEM ESCORREDOR), DE *0,55 X 1,20* M - FORNECIMENTO E INSTALAÇÃO</v>
          </cell>
          <cell r="E51" t="str">
            <v>UN</v>
          </cell>
          <cell r="F51">
            <v>2</v>
          </cell>
          <cell r="G51">
            <v>321.92</v>
          </cell>
          <cell r="H51">
            <v>407.8</v>
          </cell>
          <cell r="I51">
            <v>815.6</v>
          </cell>
        </row>
        <row r="52">
          <cell r="A52" t="str">
            <v>8.1.4</v>
          </cell>
          <cell r="B52" t="str">
            <v xml:space="preserve"> 100860 </v>
          </cell>
          <cell r="C52" t="str">
            <v>SINAPI</v>
          </cell>
          <cell r="D52" t="str">
            <v>CHUVEIRO ELÉTRICO COMUM CORPO PLÁSTICO, TIPO DUCHA  FORNECIMENTO E INSTALAÇÃO. AF_01/2020</v>
          </cell>
          <cell r="E52" t="str">
            <v>UN</v>
          </cell>
          <cell r="F52">
            <v>7</v>
          </cell>
          <cell r="G52">
            <v>78.28</v>
          </cell>
          <cell r="H52">
            <v>99.16</v>
          </cell>
          <cell r="I52">
            <v>694.12</v>
          </cell>
        </row>
        <row r="53">
          <cell r="A53" t="str">
            <v>8.1.5</v>
          </cell>
          <cell r="B53" t="str">
            <v xml:space="preserve"> 190691 </v>
          </cell>
          <cell r="C53" t="str">
            <v>SEDOP</v>
          </cell>
          <cell r="D53" t="str">
            <v>Ducha higienica cromada</v>
          </cell>
          <cell r="E53" t="str">
            <v>UN</v>
          </cell>
          <cell r="F53">
            <v>7</v>
          </cell>
          <cell r="G53">
            <v>148.69999999999999</v>
          </cell>
          <cell r="H53">
            <v>188.37</v>
          </cell>
          <cell r="I53">
            <v>1318.59</v>
          </cell>
        </row>
        <row r="54">
          <cell r="A54" t="str">
            <v>8.2</v>
          </cell>
          <cell r="B54"/>
          <cell r="C54"/>
          <cell r="D54" t="str">
            <v>CONEXÕES (ÁGUA FRIA)</v>
          </cell>
          <cell r="E54"/>
          <cell r="F54"/>
          <cell r="G54"/>
          <cell r="H54"/>
          <cell r="I54">
            <v>1188.05</v>
          </cell>
        </row>
        <row r="55">
          <cell r="A55" t="str">
            <v>8.2.1</v>
          </cell>
          <cell r="B55" t="str">
            <v xml:space="preserve"> CP007 </v>
          </cell>
          <cell r="C55" t="str">
            <v>Próprio</v>
          </cell>
          <cell r="D55" t="str">
            <v>BUCHA DE REDUCAO DE PVC, SOLDAVEL, CURTA, COM 25 X 20 MM - FORNECIMENTO E INSTALAÇÃO</v>
          </cell>
          <cell r="E55" t="str">
            <v>UN</v>
          </cell>
          <cell r="F55">
            <v>11</v>
          </cell>
          <cell r="G55">
            <v>5.52</v>
          </cell>
          <cell r="H55">
            <v>6.99</v>
          </cell>
          <cell r="I55">
            <v>76.89</v>
          </cell>
        </row>
        <row r="56">
          <cell r="A56" t="str">
            <v>8.2.2</v>
          </cell>
          <cell r="B56" t="str">
            <v xml:space="preserve"> CP008 </v>
          </cell>
          <cell r="C56" t="str">
            <v>Próprio</v>
          </cell>
          <cell r="D56" t="str">
            <v>BUCHA DE REDUCAO DE PVC, SOLDAVEL, CURTA, COM 32 X 25 MM - FORNECIMENTO E INSTALAÇÃO</v>
          </cell>
          <cell r="E56" t="str">
            <v>UN</v>
          </cell>
          <cell r="F56">
            <v>9</v>
          </cell>
          <cell r="G56">
            <v>6.01</v>
          </cell>
          <cell r="H56">
            <v>7.61</v>
          </cell>
          <cell r="I56">
            <v>68.489999999999995</v>
          </cell>
        </row>
        <row r="57">
          <cell r="A57" t="str">
            <v>8.2.3</v>
          </cell>
          <cell r="B57" t="str">
            <v xml:space="preserve"> 90375 </v>
          </cell>
          <cell r="C57" t="str">
            <v>SINAPI</v>
          </cell>
          <cell r="D57" t="str">
            <v>BUCHA DE REDUÇÃO, PVC, SOLDÁVEL, DN 40MM X 32MM, INSTALADO EM RAMAL OU SUB-RAMAL DE ÁGUA - FORNECIMENTO E INSTALAÇÃO. AF_03/2015</v>
          </cell>
          <cell r="E57" t="str">
            <v>UN</v>
          </cell>
          <cell r="F57">
            <v>2</v>
          </cell>
          <cell r="G57">
            <v>7.15</v>
          </cell>
          <cell r="H57">
            <v>9.0500000000000007</v>
          </cell>
          <cell r="I57">
            <v>18.100000000000001</v>
          </cell>
        </row>
        <row r="58">
          <cell r="A58" t="str">
            <v>8.2.4</v>
          </cell>
          <cell r="B58" t="str">
            <v xml:space="preserve"> 89410 </v>
          </cell>
          <cell r="C58" t="str">
            <v>SINAPI</v>
          </cell>
          <cell r="D58" t="str">
            <v>CURVA 90 GRAUS, PVC, SOLDÁVEL, DN 25MM, INSTALADO EM RAMAL DE DISTRIBUIÇÃO DE ÁGUA - FORNECIMENTO E INSTALAÇÃO. AF_12/2014</v>
          </cell>
          <cell r="E58" t="str">
            <v>UN</v>
          </cell>
          <cell r="F58">
            <v>15</v>
          </cell>
          <cell r="G58">
            <v>7.09</v>
          </cell>
          <cell r="H58">
            <v>8.98</v>
          </cell>
          <cell r="I58">
            <v>134.69999999999999</v>
          </cell>
        </row>
        <row r="59">
          <cell r="A59" t="str">
            <v>8.2.5</v>
          </cell>
          <cell r="B59" t="str">
            <v xml:space="preserve"> 89408 </v>
          </cell>
          <cell r="C59" t="str">
            <v>SINAPI</v>
          </cell>
          <cell r="D59" t="str">
            <v>JOELHO 90 GRAUS, PVC, SOLDÁVEL, DN 25MM, INSTALADO EM RAMAL DE DISTRIBUIÇÃO DE ÁGUA - FORNECIMENTO E INSTALAÇÃO. AF_12/2014</v>
          </cell>
          <cell r="E59" t="str">
            <v>UN</v>
          </cell>
          <cell r="F59">
            <v>2</v>
          </cell>
          <cell r="G59">
            <v>4.57</v>
          </cell>
          <cell r="H59">
            <v>5.78</v>
          </cell>
          <cell r="I59">
            <v>11.56</v>
          </cell>
        </row>
        <row r="60">
          <cell r="A60" t="str">
            <v>8.2.6</v>
          </cell>
          <cell r="B60" t="str">
            <v xml:space="preserve"> 89413 </v>
          </cell>
          <cell r="C60" t="str">
            <v>SINAPI</v>
          </cell>
          <cell r="D60" t="str">
            <v>JOELHO 90 GRAUS, PVC, SOLDÁVEL, DN 32MM, INSTALADO EM RAMAL DE DISTRIBUIÇÃO DE ÁGUA - FORNECIMENTO E INSTALAÇÃO. AF_12/2014</v>
          </cell>
          <cell r="E60" t="str">
            <v>UN</v>
          </cell>
          <cell r="F60">
            <v>9</v>
          </cell>
          <cell r="G60">
            <v>6.96</v>
          </cell>
          <cell r="H60">
            <v>8.81</v>
          </cell>
          <cell r="I60">
            <v>79.290000000000006</v>
          </cell>
        </row>
        <row r="61">
          <cell r="A61" t="str">
            <v>8.2.7</v>
          </cell>
          <cell r="B61" t="str">
            <v xml:space="preserve"> 89497 </v>
          </cell>
          <cell r="C61" t="str">
            <v>SINAPI</v>
          </cell>
          <cell r="D61" t="str">
            <v>JOELHO 90 GRAUS, PVC, SOLDÁVEL, DN 40MM, INSTALADO EM PRUMADA DE ÁGUA - FORNECIMENTO E INSTALAÇÃO. AF_12/2014</v>
          </cell>
          <cell r="E61" t="str">
            <v>UN</v>
          </cell>
          <cell r="F61">
            <v>3</v>
          </cell>
          <cell r="G61">
            <v>9.8800000000000008</v>
          </cell>
          <cell r="H61">
            <v>12.51</v>
          </cell>
          <cell r="I61">
            <v>37.53</v>
          </cell>
        </row>
        <row r="62">
          <cell r="A62" t="str">
            <v>8.2.8</v>
          </cell>
          <cell r="B62" t="str">
            <v xml:space="preserve"> CP009 </v>
          </cell>
          <cell r="C62" t="str">
            <v>Próprio</v>
          </cell>
          <cell r="D62" t="str">
            <v>JOELHO PVC, SOLDAVEL, COM BUCHA DE LATAO, 90 GRAUS, 20 MM X 1/2", PARA AGUA FRIA PREDIAL - FORNECIMENTO E INSTALAÇÃO</v>
          </cell>
          <cell r="E62" t="str">
            <v>UN</v>
          </cell>
          <cell r="F62">
            <v>24</v>
          </cell>
          <cell r="G62">
            <v>11.92</v>
          </cell>
          <cell r="H62">
            <v>15.1</v>
          </cell>
          <cell r="I62">
            <v>362.4</v>
          </cell>
        </row>
        <row r="63">
          <cell r="A63" t="str">
            <v>8.2.9</v>
          </cell>
          <cell r="B63" t="str">
            <v xml:space="preserve"> 89442 </v>
          </cell>
          <cell r="C63" t="str">
            <v>SINAPI</v>
          </cell>
          <cell r="D63" t="str">
            <v>TÊ DE REDUÇÃO, PVC, SOLDÁVEL, DN 25MM X 20MM, INSTALADO EM RAMAL DE DISTRIBUIÇÃO DE ÁGUA - FORNECIMENTO E INSTALAÇÃO. AF_12/2014</v>
          </cell>
          <cell r="E63" t="str">
            <v>UN</v>
          </cell>
          <cell r="F63">
            <v>17</v>
          </cell>
          <cell r="G63">
            <v>8.73</v>
          </cell>
          <cell r="H63">
            <v>11.05</v>
          </cell>
          <cell r="I63">
            <v>187.85</v>
          </cell>
        </row>
        <row r="64">
          <cell r="A64" t="str">
            <v>8.2.10</v>
          </cell>
          <cell r="B64" t="str">
            <v xml:space="preserve"> 89624 </v>
          </cell>
          <cell r="C64" t="str">
            <v>SINAPI</v>
          </cell>
          <cell r="D64" t="str">
            <v>TÊ DE REDUÇÃO, PVC, SOLDÁVEL, DN 40MM X 32MM, INSTALADO EM PRUMADA DE ÁGUA - FORNECIMENTO E INSTALAÇÃO. AF_12/2014</v>
          </cell>
          <cell r="E64" t="str">
            <v>UN</v>
          </cell>
          <cell r="F64">
            <v>7</v>
          </cell>
          <cell r="G64">
            <v>16.8</v>
          </cell>
          <cell r="H64">
            <v>21.28</v>
          </cell>
          <cell r="I64">
            <v>148.96</v>
          </cell>
        </row>
        <row r="65">
          <cell r="A65" t="str">
            <v>8.2.11</v>
          </cell>
          <cell r="B65" t="str">
            <v xml:space="preserve"> 89438 </v>
          </cell>
          <cell r="C65" t="str">
            <v>SINAPI</v>
          </cell>
          <cell r="D65" t="str">
            <v>TE, PVC, SOLDÁVEL, DN 20MM, INSTALADO EM RAMAL DE DISTRIBUIÇÃO DE ÁGUA - FORNECIMENTO E INSTALAÇÃO. AF_12/2014</v>
          </cell>
          <cell r="E65" t="str">
            <v>UN</v>
          </cell>
          <cell r="F65">
            <v>3</v>
          </cell>
          <cell r="G65">
            <v>5.41</v>
          </cell>
          <cell r="H65">
            <v>6.85</v>
          </cell>
          <cell r="I65">
            <v>20.55</v>
          </cell>
        </row>
        <row r="66">
          <cell r="A66" t="str">
            <v>8.2.12</v>
          </cell>
          <cell r="B66" t="str">
            <v xml:space="preserve"> 89623 </v>
          </cell>
          <cell r="C66" t="str">
            <v>SINAPI</v>
          </cell>
          <cell r="D66" t="str">
            <v>TE, PVC, SOLDÁVEL, DN 40MM, INSTALADO EM PRUMADA DE ÁGUA - FORNECIMENTO E INSTALAÇÃO. AF_12/2014</v>
          </cell>
          <cell r="E66" t="str">
            <v>UN</v>
          </cell>
          <cell r="F66">
            <v>1</v>
          </cell>
          <cell r="G66">
            <v>15.71</v>
          </cell>
          <cell r="H66">
            <v>19.899999999999999</v>
          </cell>
          <cell r="I66">
            <v>19.899999999999999</v>
          </cell>
        </row>
        <row r="67">
          <cell r="A67" t="str">
            <v>8.2.13</v>
          </cell>
          <cell r="B67" t="str">
            <v xml:space="preserve"> 89394 </v>
          </cell>
          <cell r="C67" t="str">
            <v>SINAPI</v>
          </cell>
          <cell r="D67" t="str">
            <v>TÊ COM BUCHA DE LATÃO NA BOLSA CENTRAL, PVC, SOLDÁVEL, DN 20MM X 1/2, INSTALADO EM RAMAL OU SUB-RAMAL DE ÁGUA - FORNECIMENTO E INSTALAÇÃO. AF_12/2014</v>
          </cell>
          <cell r="E67" t="str">
            <v>UN</v>
          </cell>
          <cell r="F67">
            <v>1</v>
          </cell>
          <cell r="G67">
            <v>17.239999999999998</v>
          </cell>
          <cell r="H67">
            <v>21.83</v>
          </cell>
          <cell r="I67">
            <v>21.83</v>
          </cell>
        </row>
        <row r="68">
          <cell r="A68" t="str">
            <v>8.3</v>
          </cell>
          <cell r="B68"/>
          <cell r="C68"/>
          <cell r="D68" t="str">
            <v>CONEXÕES (ESGOTO)</v>
          </cell>
          <cell r="E68"/>
          <cell r="F68"/>
          <cell r="G68"/>
          <cell r="H68"/>
          <cell r="I68">
            <v>2482.4899999999998</v>
          </cell>
        </row>
        <row r="69">
          <cell r="A69" t="str">
            <v>8.3.1</v>
          </cell>
          <cell r="B69" t="str">
            <v xml:space="preserve"> 89726 </v>
          </cell>
          <cell r="C69" t="str">
            <v>SINAPI</v>
          </cell>
          <cell r="D69" t="str">
            <v>JOELHO 45 GRAUS, PVC, SERIE NORMAL, ESGOTO PREDIAL, DN 40 MM, JUNTA SOLDÁVEL, FORNECIDO E INSTALADO EM RAMAL DE DESCARGA OU RAMAL DE ESGOTO SANITÁRIO. AF_12/2014</v>
          </cell>
          <cell r="E69" t="str">
            <v>UN</v>
          </cell>
          <cell r="F69">
            <v>12</v>
          </cell>
          <cell r="G69">
            <v>5.68</v>
          </cell>
          <cell r="H69">
            <v>7.19</v>
          </cell>
          <cell r="I69">
            <v>86.28</v>
          </cell>
        </row>
        <row r="70">
          <cell r="A70" t="str">
            <v>8.3.2</v>
          </cell>
          <cell r="B70" t="str">
            <v xml:space="preserve"> 89802 </v>
          </cell>
          <cell r="C70" t="str">
            <v>SINAPI</v>
          </cell>
          <cell r="D70" t="str">
            <v>JOELHO 45 GRAUS, PVC, SERIE NORMAL, ESGOTO PREDIAL, DN 50 MM, JUNTA ELÁSTICA, FORNECIDO E INSTALADO EM PRUMADA DE ESGOTO SANITÁRIO OU VENTILAÇÃO. AF_12/2014</v>
          </cell>
          <cell r="E70" t="str">
            <v>UN</v>
          </cell>
          <cell r="F70">
            <v>9</v>
          </cell>
          <cell r="G70">
            <v>6.93</v>
          </cell>
          <cell r="H70">
            <v>8.77</v>
          </cell>
          <cell r="I70">
            <v>78.930000000000007</v>
          </cell>
        </row>
        <row r="71">
          <cell r="A71" t="str">
            <v>8.3.3</v>
          </cell>
          <cell r="B71" t="str">
            <v xml:space="preserve"> 89810 </v>
          </cell>
          <cell r="C71" t="str">
            <v>SINAPI</v>
          </cell>
          <cell r="D71" t="str">
            <v>JOELHO 45 GRAUS, PVC, SERIE NORMAL, ESGOTO PREDIAL, DN 100 MM, JUNTA ELÁSTICA, FORNECIDO E INSTALADO EM PRUMADA DE ESGOTO SANITÁRIO OU VENTILAÇÃO. AF_12/2014</v>
          </cell>
          <cell r="E71" t="str">
            <v>UN</v>
          </cell>
          <cell r="F71">
            <v>2</v>
          </cell>
          <cell r="G71">
            <v>16.899999999999999</v>
          </cell>
          <cell r="H71">
            <v>21.4</v>
          </cell>
          <cell r="I71">
            <v>42.8</v>
          </cell>
        </row>
        <row r="72">
          <cell r="A72" t="str">
            <v>8.3.4</v>
          </cell>
          <cell r="B72" t="str">
            <v xml:space="preserve"> 89724 </v>
          </cell>
          <cell r="C72" t="str">
            <v>SINAPI</v>
          </cell>
          <cell r="D72" t="str">
            <v>JOELHO 90 GRAUS, PVC, SERIE NORMAL, ESGOTO PREDIAL, DN 40 MM, JUNTA SOLDÁVEL, FORNECIDO E INSTALADO EM RAMAL DE DESCARGA OU RAMAL DE ESGOTO SANITÁRIO. AF_12/2014</v>
          </cell>
          <cell r="E72" t="str">
            <v>UN</v>
          </cell>
          <cell r="F72">
            <v>18</v>
          </cell>
          <cell r="G72">
            <v>8.36</v>
          </cell>
          <cell r="H72">
            <v>10.59</v>
          </cell>
          <cell r="I72">
            <v>190.62</v>
          </cell>
        </row>
        <row r="73">
          <cell r="A73" t="str">
            <v>8.3.5</v>
          </cell>
          <cell r="B73" t="str">
            <v xml:space="preserve"> 89801 </v>
          </cell>
          <cell r="C73" t="str">
            <v>SINAPI</v>
          </cell>
          <cell r="D73" t="str">
            <v>JOELHO 90 GRAUS, PVC, SERIE NORMAL, ESGOTO PREDIAL, DN 50 MM, JUNTA ELÁSTICA, FORNECIDO E INSTALADO EM PRUMADA DE ESGOTO SANITÁRIO OU VENTILAÇÃO. AF_12/2014</v>
          </cell>
          <cell r="E73" t="str">
            <v>UN</v>
          </cell>
          <cell r="F73">
            <v>14</v>
          </cell>
          <cell r="G73">
            <v>6.3</v>
          </cell>
          <cell r="H73">
            <v>7.98</v>
          </cell>
          <cell r="I73">
            <v>111.72</v>
          </cell>
        </row>
        <row r="74">
          <cell r="A74" t="str">
            <v>8.3.6</v>
          </cell>
          <cell r="B74" t="str">
            <v xml:space="preserve"> 89809 </v>
          </cell>
          <cell r="C74" t="str">
            <v>SINAPI</v>
          </cell>
          <cell r="D74" t="str">
            <v>JOELHO 90 GRAUS, PVC, SERIE NORMAL, ESGOTO PREDIAL, DN 100 MM, JUNTA ELÁSTICA, FORNECIDO E INSTALADO EM PRUMADA DE ESGOTO SANITÁRIO OU VENTILAÇÃO. AF_12/2014</v>
          </cell>
          <cell r="E74" t="str">
            <v>UN</v>
          </cell>
          <cell r="F74">
            <v>7</v>
          </cell>
          <cell r="G74">
            <v>16.96</v>
          </cell>
          <cell r="H74">
            <v>21.48</v>
          </cell>
          <cell r="I74">
            <v>150.36000000000001</v>
          </cell>
        </row>
        <row r="75">
          <cell r="A75" t="str">
            <v>8.3.7</v>
          </cell>
          <cell r="B75" t="str">
            <v xml:space="preserve"> CP010 </v>
          </cell>
          <cell r="C75" t="str">
            <v>Próprio</v>
          </cell>
          <cell r="D75" t="str">
            <v>JUNÇÃO SIMPLES, PVC, SERIE NORMAL, ESGOTO PREDIAL, DN 100 X 50 MM, JUNTA ELÁSTICA, FORNECIDO E INSTALADO EM PRUMADA DE ESGOTO SANITÁRIO OU VENTILAÇÃO</v>
          </cell>
          <cell r="E75" t="str">
            <v>UN</v>
          </cell>
          <cell r="F75">
            <v>7</v>
          </cell>
          <cell r="G75">
            <v>28.61</v>
          </cell>
          <cell r="H75">
            <v>36.24</v>
          </cell>
          <cell r="I75">
            <v>253.68</v>
          </cell>
        </row>
        <row r="76">
          <cell r="A76" t="str">
            <v>8.3.8</v>
          </cell>
          <cell r="B76" t="str">
            <v xml:space="preserve"> 89813 </v>
          </cell>
          <cell r="C76" t="str">
            <v>SINAPI</v>
          </cell>
          <cell r="D76" t="str">
            <v>LUVA SIMPLES, PVC, SERIE NORMAL, ESGOTO PREDIAL, DN 50 MM, JUNTA ELÁSTICA, FORNECIDO E INSTALADO EM PRUMADA DE ESGOTO SANITÁRIO OU VENTILAÇÃO. AF_12/2014</v>
          </cell>
          <cell r="E76" t="str">
            <v>UN</v>
          </cell>
          <cell r="F76">
            <v>32</v>
          </cell>
          <cell r="G76">
            <v>6.35</v>
          </cell>
          <cell r="H76">
            <v>8.0399999999999991</v>
          </cell>
          <cell r="I76">
            <v>257.27999999999997</v>
          </cell>
        </row>
        <row r="77">
          <cell r="A77" t="str">
            <v>8.3.9</v>
          </cell>
          <cell r="B77" t="str">
            <v xml:space="preserve"> 89821 </v>
          </cell>
          <cell r="C77" t="str">
            <v>SINAPI</v>
          </cell>
          <cell r="D77" t="str">
            <v>LUVA SIMPLES, PVC, SERIE NORMAL, ESGOTO PREDIAL, DN 100 MM, JUNTA ELÁSTICA, FORNECIDO E INSTALADO EM PRUMADA DE ESGOTO SANITÁRIO OU VENTILAÇÃO. AF_12/2014</v>
          </cell>
          <cell r="E77" t="str">
            <v>UN</v>
          </cell>
          <cell r="F77">
            <v>16</v>
          </cell>
          <cell r="G77">
            <v>13.62</v>
          </cell>
          <cell r="H77">
            <v>17.25</v>
          </cell>
          <cell r="I77">
            <v>276</v>
          </cell>
        </row>
        <row r="78">
          <cell r="A78" t="str">
            <v>8.3.10</v>
          </cell>
          <cell r="B78" t="str">
            <v xml:space="preserve"> 00039319 </v>
          </cell>
          <cell r="C78" t="str">
            <v>SINAPI</v>
          </cell>
          <cell r="D78" t="str">
            <v>TERMINAL DE VENTILACAO, 50 MM, SERIE NORMAL, ESGOTO PREDIAL</v>
          </cell>
          <cell r="E78" t="str">
            <v>UN</v>
          </cell>
          <cell r="F78">
            <v>9</v>
          </cell>
          <cell r="G78">
            <v>7.04</v>
          </cell>
          <cell r="H78">
            <v>8.91</v>
          </cell>
          <cell r="I78">
            <v>80.19</v>
          </cell>
        </row>
        <row r="79">
          <cell r="A79" t="str">
            <v>8.3.11</v>
          </cell>
          <cell r="B79" t="str">
            <v xml:space="preserve"> 89825 </v>
          </cell>
          <cell r="C79" t="str">
            <v>SINAPI</v>
          </cell>
          <cell r="D79" t="str">
            <v>TE, PVC, SERIE NORMAL, ESGOTO PREDIAL, DN 50 X 50 MM, JUNTA ELÁSTICA, FORNECIDO E INSTALADO EM PRUMADA DE ESGOTO SANITÁRIO OU VENTILAÇÃO. AF_12/2014</v>
          </cell>
          <cell r="E79" t="str">
            <v>UN</v>
          </cell>
          <cell r="F79">
            <v>9</v>
          </cell>
          <cell r="G79">
            <v>14.06</v>
          </cell>
          <cell r="H79">
            <v>17.809999999999999</v>
          </cell>
          <cell r="I79">
            <v>160.29</v>
          </cell>
        </row>
        <row r="80">
          <cell r="A80" t="str">
            <v>8.3.12</v>
          </cell>
          <cell r="B80" t="str">
            <v xml:space="preserve"> 96855 </v>
          </cell>
          <cell r="C80" t="str">
            <v>SINAPI</v>
          </cell>
          <cell r="D80" t="str">
            <v>JOELHO 90 GRAUS, PARA INSTALAÇÕES EM PEX, DN 25 MM, CONEXÃO POR CRIMPAGEM   FORNECIMENTO E INSTALAÇÃO. AF_06/2015</v>
          </cell>
          <cell r="E80" t="str">
            <v>UN</v>
          </cell>
          <cell r="F80">
            <v>18</v>
          </cell>
          <cell r="G80">
            <v>34.840000000000003</v>
          </cell>
          <cell r="H80">
            <v>44.13</v>
          </cell>
          <cell r="I80">
            <v>794.34</v>
          </cell>
        </row>
        <row r="81">
          <cell r="A81" t="str">
            <v>8.4</v>
          </cell>
          <cell r="B81"/>
          <cell r="C81"/>
          <cell r="D81" t="str">
            <v>CAIXAS E RALOS</v>
          </cell>
          <cell r="E81"/>
          <cell r="F81"/>
          <cell r="G81"/>
          <cell r="H81"/>
          <cell r="I81">
            <v>1587.21</v>
          </cell>
        </row>
        <row r="82">
          <cell r="A82" t="str">
            <v>8.4.1</v>
          </cell>
          <cell r="B82" t="str">
            <v xml:space="preserve"> 89707 </v>
          </cell>
          <cell r="C82" t="str">
            <v>SINAPI</v>
          </cell>
          <cell r="D82" t="str">
            <v>CAIXA SIFONADA, PVC, DN 100 X 100 X 50 MM, JUNTA ELÁSTICA, FORNECIDA E INSTALADA EM RAMAL DE DESCARGA OU EM RAMAL DE ESGOTO SANITÁRIO. AF_12/2014</v>
          </cell>
          <cell r="E82" t="str">
            <v>UN</v>
          </cell>
          <cell r="F82">
            <v>9</v>
          </cell>
          <cell r="G82">
            <v>25.09</v>
          </cell>
          <cell r="H82">
            <v>31.78</v>
          </cell>
          <cell r="I82">
            <v>286.02</v>
          </cell>
        </row>
        <row r="83">
          <cell r="A83" t="str">
            <v>8.4.2</v>
          </cell>
          <cell r="B83" t="str">
            <v xml:space="preserve"> CP006 </v>
          </cell>
          <cell r="C83" t="str">
            <v>Próprio</v>
          </cell>
          <cell r="D83" t="str">
            <v>PROLONGAMENTO PVC PARA CAIXA SIFONADA 100 MM X 200 MM</v>
          </cell>
          <cell r="E83" t="str">
            <v>UN</v>
          </cell>
          <cell r="F83">
            <v>16</v>
          </cell>
          <cell r="G83">
            <v>7.95</v>
          </cell>
          <cell r="H83">
            <v>10.07</v>
          </cell>
          <cell r="I83">
            <v>161.12</v>
          </cell>
        </row>
        <row r="84">
          <cell r="A84" t="str">
            <v>8.4.3</v>
          </cell>
          <cell r="B84" t="str">
            <v xml:space="preserve"> 89709 </v>
          </cell>
          <cell r="C84" t="str">
            <v>SINAPI</v>
          </cell>
          <cell r="D84" t="str">
            <v>RALO SIFONADO, PVC, DN 100 X 40 MM, JUNTA SOLDÁVEL, FORNECIDO E INSTALADO EM RAMAL DE DESCARGA OU EM RAMAL DE ESGOTO SANITÁRIO. AF_12/2014</v>
          </cell>
          <cell r="E84" t="str">
            <v>UN</v>
          </cell>
          <cell r="F84">
            <v>7</v>
          </cell>
          <cell r="G84">
            <v>9.34</v>
          </cell>
          <cell r="H84">
            <v>11.83</v>
          </cell>
          <cell r="I84">
            <v>82.81</v>
          </cell>
        </row>
        <row r="85">
          <cell r="A85" t="str">
            <v>8.4.4</v>
          </cell>
          <cell r="B85" t="str">
            <v xml:space="preserve"> 180413 </v>
          </cell>
          <cell r="C85" t="str">
            <v>SEDOP</v>
          </cell>
          <cell r="D85" t="str">
            <v>Caixa em alvenaria de 40x40x50cm c/ tpo. concreto</v>
          </cell>
          <cell r="E85" t="str">
            <v>UN</v>
          </cell>
          <cell r="F85">
            <v>3</v>
          </cell>
          <cell r="G85">
            <v>278.2</v>
          </cell>
          <cell r="H85">
            <v>352.42</v>
          </cell>
          <cell r="I85">
            <v>1057.26</v>
          </cell>
        </row>
        <row r="86">
          <cell r="A86" t="str">
            <v>8.5</v>
          </cell>
          <cell r="B86"/>
          <cell r="C86"/>
          <cell r="D86" t="str">
            <v>REGISTROS E VÁLVULAS</v>
          </cell>
          <cell r="E86"/>
          <cell r="F86"/>
          <cell r="G86"/>
          <cell r="H86"/>
          <cell r="I86">
            <v>993.36</v>
          </cell>
        </row>
        <row r="87">
          <cell r="A87" t="str">
            <v>8.5.1</v>
          </cell>
          <cell r="B87" t="str">
            <v xml:space="preserve"> 89985 </v>
          </cell>
          <cell r="C87" t="str">
            <v>SINAPI</v>
          </cell>
          <cell r="D87" t="str">
            <v>REGISTRO DE PRESSÃO BRUTO, LATÃO, ROSCÁVEL, 3/4", COM ACABAMENTO E CANOPLA CROMADOS. FORNECIDO E INSTALADO EM RAMAL DE ÁGUA. AF_12/2014</v>
          </cell>
          <cell r="E87" t="str">
            <v>UN</v>
          </cell>
          <cell r="F87">
            <v>7</v>
          </cell>
          <cell r="G87">
            <v>74.91</v>
          </cell>
          <cell r="H87">
            <v>94.89</v>
          </cell>
          <cell r="I87">
            <v>664.23</v>
          </cell>
        </row>
        <row r="88">
          <cell r="A88" t="str">
            <v>8.5.2</v>
          </cell>
          <cell r="B88" t="str">
            <v xml:space="preserve"> 94490 </v>
          </cell>
          <cell r="C88" t="str">
            <v>SINAPI</v>
          </cell>
          <cell r="D88" t="str">
            <v>REGISTRO DE ESFERA, PVC, SOLDÁVEL, DN  32 MM, INSTALADO EM RESERVAÇÃO DE ÁGUA DE EDIFICAÇÃO QUE POSSUA RESERVATÓRIO DE FIBRA/FIBROCIMENTO   FORNECIMENTO E INSTALAÇÃO. AF_06/2016</v>
          </cell>
          <cell r="E88" t="str">
            <v>UN</v>
          </cell>
          <cell r="F88">
            <v>9</v>
          </cell>
          <cell r="G88">
            <v>28.87</v>
          </cell>
          <cell r="H88">
            <v>36.57</v>
          </cell>
          <cell r="I88">
            <v>329.13</v>
          </cell>
        </row>
        <row r="89">
          <cell r="A89" t="str">
            <v>8.6</v>
          </cell>
          <cell r="B89"/>
          <cell r="C89"/>
          <cell r="D89" t="str">
            <v>TUBOS</v>
          </cell>
          <cell r="E89"/>
          <cell r="F89"/>
          <cell r="G89"/>
          <cell r="H89"/>
          <cell r="I89">
            <v>8309.1200000000008</v>
          </cell>
        </row>
        <row r="90">
          <cell r="A90" t="str">
            <v>8.6.1</v>
          </cell>
          <cell r="B90" t="str">
            <v xml:space="preserve"> 96796 </v>
          </cell>
          <cell r="C90" t="str">
            <v>SINAPI</v>
          </cell>
          <cell r="D90" t="str">
            <v>TUBO, PEX, MONOCAMADA, DN 25, INSTALADO EM RAMAL OU SUB-RAMAL DE ÁGUA  FORNECIMENTO E INSTALAÇÃO. AF_06/2015</v>
          </cell>
          <cell r="E90" t="str">
            <v>M</v>
          </cell>
          <cell r="F90">
            <v>31.72</v>
          </cell>
          <cell r="G90">
            <v>15.78</v>
          </cell>
          <cell r="H90">
            <v>19.989999999999998</v>
          </cell>
          <cell r="I90">
            <v>634.08000000000004</v>
          </cell>
        </row>
        <row r="91">
          <cell r="A91" t="str">
            <v>8.6.2</v>
          </cell>
          <cell r="B91" t="str">
            <v xml:space="preserve"> 89355 </v>
          </cell>
          <cell r="C91" t="str">
            <v>SINAPI</v>
          </cell>
          <cell r="D91" t="str">
            <v>TUBO, PVC, SOLDÁVEL, DN 20MM, INSTALADO EM RAMAL OU SUB-RAMAL DE ÁGUA - FORNECIMENTO E INSTALAÇÃO. AF_12/2014</v>
          </cell>
          <cell r="E91" t="str">
            <v>M</v>
          </cell>
          <cell r="F91">
            <v>15.42</v>
          </cell>
          <cell r="G91">
            <v>13.99</v>
          </cell>
          <cell r="H91">
            <v>17.72</v>
          </cell>
          <cell r="I91">
            <v>273.24</v>
          </cell>
        </row>
        <row r="92">
          <cell r="A92" t="str">
            <v>8.6.3</v>
          </cell>
          <cell r="B92" t="str">
            <v xml:space="preserve"> 89356 </v>
          </cell>
          <cell r="C92" t="str">
            <v>SINAPI</v>
          </cell>
          <cell r="D92" t="str">
            <v>TUBO, PVC, SOLDÁVEL, DN 25MM, INSTALADO EM RAMAL OU SUB-RAMAL DE ÁGUA - FORNECIMENTO E INSTALAÇÃO. AF_12/2014</v>
          </cell>
          <cell r="E92" t="str">
            <v>M</v>
          </cell>
          <cell r="F92">
            <v>35.51</v>
          </cell>
          <cell r="G92">
            <v>16.600000000000001</v>
          </cell>
          <cell r="H92">
            <v>21.02</v>
          </cell>
          <cell r="I92">
            <v>746.42</v>
          </cell>
        </row>
        <row r="93">
          <cell r="A93" t="str">
            <v>8.6.4</v>
          </cell>
          <cell r="B93" t="str">
            <v xml:space="preserve"> 89357 </v>
          </cell>
          <cell r="C93" t="str">
            <v>SINAPI</v>
          </cell>
          <cell r="D93" t="str">
            <v>TUBO, PVC, SOLDÁVEL, DN 32MM, INSTALADO EM RAMAL OU SUB-RAMAL DE ÁGUA - FORNECIMENTO E INSTALAÇÃO. AF_12/2014</v>
          </cell>
          <cell r="E93" t="str">
            <v>M</v>
          </cell>
          <cell r="F93">
            <v>27.93</v>
          </cell>
          <cell r="G93">
            <v>24.27</v>
          </cell>
          <cell r="H93">
            <v>30.74</v>
          </cell>
          <cell r="I93">
            <v>858.56</v>
          </cell>
        </row>
        <row r="94">
          <cell r="A94" t="str">
            <v>8.6.5</v>
          </cell>
          <cell r="B94" t="str">
            <v xml:space="preserve"> 89448 </v>
          </cell>
          <cell r="C94" t="str">
            <v>SINAPI</v>
          </cell>
          <cell r="D94" t="str">
            <v>TUBO, PVC, SOLDÁVEL, DN 40MM, INSTALADO EM PRUMADA DE ÁGUA - FORNECIMENTO E INSTALAÇÃO. AF_12/2014</v>
          </cell>
          <cell r="E94" t="str">
            <v>M</v>
          </cell>
          <cell r="F94">
            <v>47.6</v>
          </cell>
          <cell r="G94">
            <v>14.65</v>
          </cell>
          <cell r="H94">
            <v>18.55</v>
          </cell>
          <cell r="I94">
            <v>882.98</v>
          </cell>
        </row>
        <row r="95">
          <cell r="A95" t="str">
            <v>8.6.6</v>
          </cell>
          <cell r="B95" t="str">
            <v xml:space="preserve"> 89711 </v>
          </cell>
          <cell r="C95" t="str">
            <v>SINAPI</v>
          </cell>
          <cell r="D95" t="str">
            <v>TUBO PVC, SERIE NORMAL, ESGOTO PREDIAL, DN 40 MM, FORNECIDO E INSTALADO EM RAMAL DE DESCARGA OU RAMAL DE ESGOTO SANITÁRIO. AF_12/2014</v>
          </cell>
          <cell r="E95" t="str">
            <v>M</v>
          </cell>
          <cell r="F95">
            <v>20.62</v>
          </cell>
          <cell r="G95">
            <v>15.73</v>
          </cell>
          <cell r="H95">
            <v>19.920000000000002</v>
          </cell>
          <cell r="I95">
            <v>410.75</v>
          </cell>
        </row>
        <row r="96">
          <cell r="A96" t="str">
            <v>8.6.7</v>
          </cell>
          <cell r="B96" t="str">
            <v xml:space="preserve"> 89712 </v>
          </cell>
          <cell r="C96" t="str">
            <v>SINAPI</v>
          </cell>
          <cell r="D96" t="str">
            <v>TUBO PVC, SERIE NORMAL, ESGOTO PREDIAL, DN 50 MM, FORNECIDO E INSTALADO EM RAMAL DE DESCARGA OU RAMAL DE ESGOTO SANITÁRIO. AF_12/2014</v>
          </cell>
          <cell r="E96" t="str">
            <v>M</v>
          </cell>
          <cell r="F96">
            <v>51.37</v>
          </cell>
          <cell r="G96">
            <v>23.79</v>
          </cell>
          <cell r="H96">
            <v>30.13</v>
          </cell>
          <cell r="I96">
            <v>1547.77</v>
          </cell>
        </row>
        <row r="97">
          <cell r="A97" t="str">
            <v>8.6.8</v>
          </cell>
          <cell r="B97" t="str">
            <v xml:space="preserve"> 89714 </v>
          </cell>
          <cell r="C97" t="str">
            <v>SINAPI</v>
          </cell>
          <cell r="D97" t="str">
            <v>TUBO PVC, SERIE NORMAL, ESGOTO PREDIAL, DN 100 MM, FORNECIDO E INSTALADO EM RAMAL DE DESCARGA OU RAMAL DE ESGOTO SANITÁRIO. AF_12/2014</v>
          </cell>
          <cell r="E97" t="str">
            <v>M</v>
          </cell>
          <cell r="F97">
            <v>51.29</v>
          </cell>
          <cell r="G97">
            <v>45.49</v>
          </cell>
          <cell r="H97">
            <v>57.62</v>
          </cell>
          <cell r="I97">
            <v>2955.32</v>
          </cell>
        </row>
        <row r="98">
          <cell r="A98">
            <v>9</v>
          </cell>
          <cell r="B98"/>
          <cell r="C98"/>
          <cell r="D98" t="str">
            <v>INSTALAÇÕES ELÉTRICAS</v>
          </cell>
          <cell r="E98"/>
          <cell r="F98"/>
          <cell r="G98"/>
          <cell r="H98"/>
          <cell r="I98">
            <v>60971.98</v>
          </cell>
        </row>
        <row r="99">
          <cell r="A99" t="str">
            <v>9.1</v>
          </cell>
          <cell r="B99"/>
          <cell r="C99"/>
          <cell r="D99" t="str">
            <v>QUADROS E DISJUNTORES</v>
          </cell>
          <cell r="E99"/>
          <cell r="F99"/>
          <cell r="G99"/>
          <cell r="H99"/>
          <cell r="I99">
            <v>10498.89</v>
          </cell>
        </row>
        <row r="100">
          <cell r="A100" t="str">
            <v>9.1.1</v>
          </cell>
          <cell r="B100" t="str">
            <v xml:space="preserve"> 101946 </v>
          </cell>
          <cell r="C100" t="str">
            <v>SINAPI</v>
          </cell>
          <cell r="D100" t="str">
            <v>QUADRO DE MEDIÇÃO GERAL DE ENERGIA PARA 1 MEDIDOR DE SOBREPOR - FORNECIMENTO E INSTALAÇÃO. AF_10/2020</v>
          </cell>
          <cell r="E100" t="str">
            <v>UN</v>
          </cell>
          <cell r="F100">
            <v>1</v>
          </cell>
          <cell r="G100">
            <v>111.82</v>
          </cell>
          <cell r="H100">
            <v>141.65</v>
          </cell>
          <cell r="I100">
            <v>141.65</v>
          </cell>
        </row>
        <row r="101">
          <cell r="A101" t="str">
            <v>9.1.2</v>
          </cell>
          <cell r="B101" t="str">
            <v xml:space="preserve"> 101879 </v>
          </cell>
          <cell r="C101" t="str">
            <v>SINAPI</v>
          </cell>
          <cell r="D101" t="str">
            <v>QUADRO DE DISTRIBUIÇÃO DE ENERGIA EM CHAPA DE AÇO GALVANIZADO, DE EMBUTIR, COM BARRAMENTO TRIFÁSICO, PARA 24 DISJUNTORES DIN 100A - FORNECIMENTO E INSTALAÇÃO. AF_10/2020</v>
          </cell>
          <cell r="E101" t="str">
            <v>UN</v>
          </cell>
          <cell r="F101">
            <v>1</v>
          </cell>
          <cell r="G101">
            <v>510.72</v>
          </cell>
          <cell r="H101">
            <v>646.98</v>
          </cell>
          <cell r="I101">
            <v>646.98</v>
          </cell>
        </row>
        <row r="102">
          <cell r="A102" t="str">
            <v>9.1.3</v>
          </cell>
          <cell r="B102" t="str">
            <v xml:space="preserve"> 101880 </v>
          </cell>
          <cell r="C102" t="str">
            <v>SINAPI</v>
          </cell>
          <cell r="D102" t="str">
            <v>QUADRO DE DISTRIBUIÇÃO DE ENERGIA EM CHAPA DE AÇO GALVANIZADO, DE EMBUTIR, COM BARRAMENTO TRIFÁSICO, PARA 30 DISJUNTORES DIN 150A - FORNECIMENTO E INSTALAÇÃO. AF_10/2020</v>
          </cell>
          <cell r="E102" t="str">
            <v>UN</v>
          </cell>
          <cell r="F102">
            <v>2</v>
          </cell>
          <cell r="G102">
            <v>588.25</v>
          </cell>
          <cell r="H102">
            <v>745.19</v>
          </cell>
          <cell r="I102">
            <v>1490.38</v>
          </cell>
        </row>
        <row r="103">
          <cell r="A103" t="str">
            <v>9.1.4</v>
          </cell>
          <cell r="B103" t="str">
            <v xml:space="preserve"> 93653 </v>
          </cell>
          <cell r="C103" t="str">
            <v>SINAPI</v>
          </cell>
          <cell r="D103" t="str">
            <v>DISJUNTOR MONOPOLAR TIPO DIN, CORRENTE NOMINAL DE 10A - FORNECIMENTO E INSTALAÇÃO. AF_10/2020</v>
          </cell>
          <cell r="E103" t="str">
            <v>UN</v>
          </cell>
          <cell r="F103">
            <v>9</v>
          </cell>
          <cell r="G103">
            <v>9.59</v>
          </cell>
          <cell r="H103">
            <v>12.14</v>
          </cell>
          <cell r="I103">
            <v>109.26</v>
          </cell>
        </row>
        <row r="104">
          <cell r="A104" t="str">
            <v>9.1.5</v>
          </cell>
          <cell r="B104" t="str">
            <v xml:space="preserve"> 93660 </v>
          </cell>
          <cell r="C104" t="str">
            <v>SINAPI</v>
          </cell>
          <cell r="D104" t="str">
            <v>DISJUNTOR BIPOLAR TIPO DIN, CORRENTE NOMINAL DE 10A - FORNECIMENTO E INSTALAÇÃO. AF_10/2020</v>
          </cell>
          <cell r="E104" t="str">
            <v>UN</v>
          </cell>
          <cell r="F104">
            <v>10</v>
          </cell>
          <cell r="G104">
            <v>48.44</v>
          </cell>
          <cell r="H104">
            <v>61.36</v>
          </cell>
          <cell r="I104">
            <v>613.6</v>
          </cell>
        </row>
        <row r="105">
          <cell r="A105" t="str">
            <v>9.1.6</v>
          </cell>
          <cell r="B105" t="str">
            <v xml:space="preserve"> 93661 </v>
          </cell>
          <cell r="C105" t="str">
            <v>SINAPI</v>
          </cell>
          <cell r="D105" t="str">
            <v>DISJUNTOR BIPOLAR TIPO DIN, CORRENTE NOMINAL DE 16A - FORNECIMENTO E INSTALAÇÃO. AF_10/2020</v>
          </cell>
          <cell r="E105" t="str">
            <v>UN</v>
          </cell>
          <cell r="F105">
            <v>8</v>
          </cell>
          <cell r="G105">
            <v>49.29</v>
          </cell>
          <cell r="H105">
            <v>62.44</v>
          </cell>
          <cell r="I105">
            <v>499.52</v>
          </cell>
        </row>
        <row r="106">
          <cell r="A106" t="str">
            <v>9.1.7</v>
          </cell>
          <cell r="B106" t="str">
            <v xml:space="preserve"> 170900 </v>
          </cell>
          <cell r="C106" t="str">
            <v>SEDOP</v>
          </cell>
          <cell r="D106" t="str">
            <v>Disjuntor 3P - 125A a 225A - PADRÃO DIN</v>
          </cell>
          <cell r="E106" t="str">
            <v>UN</v>
          </cell>
          <cell r="F106">
            <v>1</v>
          </cell>
          <cell r="G106">
            <v>334.02</v>
          </cell>
          <cell r="H106">
            <v>423.13</v>
          </cell>
          <cell r="I106">
            <v>423.13</v>
          </cell>
        </row>
        <row r="107">
          <cell r="A107" t="str">
            <v>9.1.8</v>
          </cell>
          <cell r="B107" t="str">
            <v xml:space="preserve"> 93671 </v>
          </cell>
          <cell r="C107" t="str">
            <v>SINAPI</v>
          </cell>
          <cell r="D107" t="str">
            <v>DISJUNTOR TRIPOLAR TIPO DIN, CORRENTE NOMINAL DE 32A - FORNECIMENTO E INSTALAÇÃO. AF_10/2020</v>
          </cell>
          <cell r="E107" t="str">
            <v>UN</v>
          </cell>
          <cell r="F107">
            <v>2</v>
          </cell>
          <cell r="G107">
            <v>67</v>
          </cell>
          <cell r="H107">
            <v>84.87</v>
          </cell>
          <cell r="I107">
            <v>169.74</v>
          </cell>
        </row>
        <row r="108">
          <cell r="A108" t="str">
            <v>9.1.9</v>
          </cell>
          <cell r="B108" t="str">
            <v xml:space="preserve"> 170393 </v>
          </cell>
          <cell r="C108" t="str">
            <v>SEDOP</v>
          </cell>
          <cell r="D108" t="str">
            <v>Disjuntor 3P - 63 a 100A - PADRÃO DIN</v>
          </cell>
          <cell r="E108" t="str">
            <v>UN</v>
          </cell>
          <cell r="F108">
            <v>4</v>
          </cell>
          <cell r="G108">
            <v>240.63</v>
          </cell>
          <cell r="H108">
            <v>304.83</v>
          </cell>
          <cell r="I108">
            <v>1219.32</v>
          </cell>
        </row>
        <row r="109">
          <cell r="A109" t="str">
            <v>9.1.10</v>
          </cell>
          <cell r="B109" t="str">
            <v xml:space="preserve"> CP003 </v>
          </cell>
          <cell r="C109" t="str">
            <v>Próprio</v>
          </cell>
          <cell r="D109" t="str">
            <v>DISPOSITIVO DPS, 1 POLO, TENSAO MAXIMA DE 275 V, CORRENTE MAXIMA DE *45*KA</v>
          </cell>
          <cell r="E109" t="str">
            <v>UN</v>
          </cell>
          <cell r="F109">
            <v>16</v>
          </cell>
          <cell r="G109">
            <v>144.51</v>
          </cell>
          <cell r="H109">
            <v>183.06</v>
          </cell>
          <cell r="I109">
            <v>2928.96</v>
          </cell>
        </row>
        <row r="110">
          <cell r="A110" t="str">
            <v>9.1.11</v>
          </cell>
          <cell r="B110" t="str">
            <v xml:space="preserve"> CP019 </v>
          </cell>
          <cell r="C110" t="str">
            <v>Próprio</v>
          </cell>
          <cell r="D110" t="str">
            <v>DISPOSITIVO BIPOLAR DR, SENSIBILIDADE DE 30 MA, CORRENTE DE 25 A</v>
          </cell>
          <cell r="E110" t="str">
            <v>UN</v>
          </cell>
          <cell r="F110">
            <v>7</v>
          </cell>
          <cell r="G110">
            <v>174.96</v>
          </cell>
          <cell r="H110">
            <v>221.63</v>
          </cell>
          <cell r="I110">
            <v>1551.41</v>
          </cell>
        </row>
        <row r="111">
          <cell r="A111" t="str">
            <v>9.1.12</v>
          </cell>
          <cell r="B111" t="str">
            <v xml:space="preserve"> CP020 </v>
          </cell>
          <cell r="C111" t="str">
            <v>Próprio</v>
          </cell>
          <cell r="D111" t="str">
            <v>DISPOSITIVO BIPOLAR DR, SENSIBILIDADE DE 30 MA, CORRENTE DE 80 A</v>
          </cell>
          <cell r="E111" t="str">
            <v>UN</v>
          </cell>
          <cell r="F111">
            <v>2</v>
          </cell>
          <cell r="G111">
            <v>278.24</v>
          </cell>
          <cell r="H111">
            <v>352.47</v>
          </cell>
          <cell r="I111">
            <v>704.94</v>
          </cell>
        </row>
        <row r="112">
          <cell r="A112" t="str">
            <v>9.2</v>
          </cell>
          <cell r="B112"/>
          <cell r="C112"/>
          <cell r="D112" t="str">
            <v>TOMADAS E INTERRUPTORES</v>
          </cell>
          <cell r="E112"/>
          <cell r="F112"/>
          <cell r="G112"/>
          <cell r="H112"/>
          <cell r="I112">
            <v>2709.57</v>
          </cell>
        </row>
        <row r="113">
          <cell r="A113" t="str">
            <v>9.2.1</v>
          </cell>
          <cell r="B113" t="str">
            <v xml:space="preserve"> 91997 </v>
          </cell>
          <cell r="C113" t="str">
            <v>SINAPI</v>
          </cell>
          <cell r="D113" t="str">
            <v>TOMADA MÉDIA DE EMBUTIR (1 MÓDULO), 2P+T 20 A, INCLUINDO SUPORTE E PLACA - FORNECIMENTO E INSTALAÇÃO. AF_12/2015</v>
          </cell>
          <cell r="E113" t="str">
            <v>UN</v>
          </cell>
          <cell r="F113">
            <v>11</v>
          </cell>
          <cell r="G113">
            <v>26.96</v>
          </cell>
          <cell r="H113">
            <v>34.15</v>
          </cell>
          <cell r="I113">
            <v>375.65</v>
          </cell>
        </row>
        <row r="114">
          <cell r="A114" t="str">
            <v>9.2.2</v>
          </cell>
          <cell r="B114" t="str">
            <v xml:space="preserve"> 92004 </v>
          </cell>
          <cell r="C114" t="str">
            <v>SINAPI</v>
          </cell>
          <cell r="D114" t="str">
            <v>TOMADA MÉDIA DE EMBUTIR (2 MÓDULOS), 2P+T 10 A, INCLUINDO SUPORTE E PLACA - FORNECIMENTO E INSTALAÇÃO. AF_12/2015</v>
          </cell>
          <cell r="E114" t="str">
            <v>UN</v>
          </cell>
          <cell r="F114">
            <v>17</v>
          </cell>
          <cell r="G114">
            <v>40.880000000000003</v>
          </cell>
          <cell r="H114">
            <v>51.78</v>
          </cell>
          <cell r="I114">
            <v>880.26</v>
          </cell>
        </row>
        <row r="115">
          <cell r="A115" t="str">
            <v>9.2.3</v>
          </cell>
          <cell r="B115" t="str">
            <v xml:space="preserve"> 91996 </v>
          </cell>
          <cell r="C115" t="str">
            <v>SINAPI</v>
          </cell>
          <cell r="D115" t="str">
            <v>TOMADA MÉDIA DE EMBUTIR (1 MÓDULO), 2P+T 10 A, INCLUINDO SUPORTE E PLACA - FORNECIMENTO E INSTALAÇÃO. AF_12/2015</v>
          </cell>
          <cell r="E115" t="str">
            <v>UN</v>
          </cell>
          <cell r="F115">
            <v>17</v>
          </cell>
          <cell r="G115">
            <v>24.82</v>
          </cell>
          <cell r="H115">
            <v>31.44</v>
          </cell>
          <cell r="I115">
            <v>534.48</v>
          </cell>
        </row>
        <row r="116">
          <cell r="A116" t="str">
            <v>9.2.4</v>
          </cell>
          <cell r="B116" t="str">
            <v xml:space="preserve"> 91953 </v>
          </cell>
          <cell r="C116" t="str">
            <v>SINAPI</v>
          </cell>
          <cell r="D116" t="str">
            <v>INTERRUPTOR SIMPLES (1 MÓDULO), 10A/250V, INCLUINDO SUPORTE E PLACA - FORNECIMENTO E INSTALAÇÃO. AF_12/2015</v>
          </cell>
          <cell r="E116" t="str">
            <v>UN</v>
          </cell>
          <cell r="F116">
            <v>15</v>
          </cell>
          <cell r="G116">
            <v>21.07</v>
          </cell>
          <cell r="H116">
            <v>26.69</v>
          </cell>
          <cell r="I116">
            <v>400.35</v>
          </cell>
        </row>
        <row r="117">
          <cell r="A117" t="str">
            <v>9.2.5</v>
          </cell>
          <cell r="B117" t="str">
            <v xml:space="preserve"> 92023 </v>
          </cell>
          <cell r="C117" t="str">
            <v>SINAPI</v>
          </cell>
          <cell r="D117" t="str">
            <v>INTERRUPTOR SIMPLES (1 MÓDULO) COM 1 TOMADA DE EMBUTIR 2P+T 10 A,  INCLUINDO SUPORTE E PLACA - FORNECIMENTO E INSTALAÇÃO. AF_12/2015</v>
          </cell>
          <cell r="E117" t="str">
            <v>UN</v>
          </cell>
          <cell r="F117">
            <v>8</v>
          </cell>
          <cell r="G117">
            <v>37.130000000000003</v>
          </cell>
          <cell r="H117">
            <v>47.03</v>
          </cell>
          <cell r="I117">
            <v>376.24</v>
          </cell>
        </row>
        <row r="118">
          <cell r="A118" t="str">
            <v>9.2.6</v>
          </cell>
          <cell r="B118" t="str">
            <v xml:space="preserve"> 91959 </v>
          </cell>
          <cell r="C118" t="str">
            <v>SINAPI</v>
          </cell>
          <cell r="D118" t="str">
            <v>INTERRUPTOR SIMPLES (2 MÓDULOS), 10A/250V, INCLUINDO SUPORTE E PLACA - FORNECIMENTO E INSTALAÇÃO. AF_12/2015</v>
          </cell>
          <cell r="E118" t="str">
            <v>UN</v>
          </cell>
          <cell r="F118">
            <v>2</v>
          </cell>
          <cell r="G118">
            <v>33.409999999999997</v>
          </cell>
          <cell r="H118">
            <v>42.32</v>
          </cell>
          <cell r="I118">
            <v>84.64</v>
          </cell>
        </row>
        <row r="119">
          <cell r="A119" t="str">
            <v>9.2.7</v>
          </cell>
          <cell r="B119" t="str">
            <v xml:space="preserve"> 91967 </v>
          </cell>
          <cell r="C119" t="str">
            <v>SINAPI</v>
          </cell>
          <cell r="D119" t="str">
            <v>INTERRUPTOR SIMPLES (3 MÓDULOS), 10A/250V, INCLUINDO SUPORTE E PLACA - FORNECIMENTO E INSTALAÇÃO. AF_12/2015</v>
          </cell>
          <cell r="E119" t="str">
            <v>UN</v>
          </cell>
          <cell r="F119">
            <v>1</v>
          </cell>
          <cell r="G119">
            <v>45.75</v>
          </cell>
          <cell r="H119">
            <v>57.95</v>
          </cell>
          <cell r="I119">
            <v>57.95</v>
          </cell>
        </row>
        <row r="120">
          <cell r="A120" t="str">
            <v>9.3</v>
          </cell>
          <cell r="B120"/>
          <cell r="C120"/>
          <cell r="D120" t="str">
            <v>LUMINÁRIAS</v>
          </cell>
          <cell r="E120"/>
          <cell r="F120"/>
          <cell r="G120"/>
          <cell r="H120"/>
          <cell r="I120">
            <v>4130.41</v>
          </cell>
        </row>
        <row r="121">
          <cell r="A121" t="str">
            <v>9.3.1</v>
          </cell>
          <cell r="B121" t="str">
            <v xml:space="preserve"> CP017 </v>
          </cell>
          <cell r="C121" t="str">
            <v>Próprio</v>
          </cell>
          <cell r="D121" t="str">
            <v>LUMINÁRIA TIPO PLAFON, DE SOBREPOR, COM 1 LÂMPADA LED DE 18/20 W - FORNECIMENTO E INSTALAÇÃO</v>
          </cell>
          <cell r="E121" t="str">
            <v>UN</v>
          </cell>
          <cell r="F121">
            <v>62</v>
          </cell>
          <cell r="G121">
            <v>51.89</v>
          </cell>
          <cell r="H121">
            <v>65.73</v>
          </cell>
          <cell r="I121">
            <v>4075.26</v>
          </cell>
        </row>
        <row r="122">
          <cell r="A122" t="str">
            <v>9.3.2</v>
          </cell>
          <cell r="B122" t="str">
            <v xml:space="preserve"> CP018 </v>
          </cell>
          <cell r="C122" t="str">
            <v>Próprio</v>
          </cell>
          <cell r="D122" t="str">
            <v>LUMINÁRIA TIPO PLAFON, DE SOBREPOR, COM 1 LÂMPADA LED DE 10 W - FORNECIMENTO E INSTALAÇÃO</v>
          </cell>
          <cell r="E122" t="str">
            <v>UN</v>
          </cell>
          <cell r="F122">
            <v>1</v>
          </cell>
          <cell r="G122">
            <v>43.54</v>
          </cell>
          <cell r="H122">
            <v>55.15</v>
          </cell>
          <cell r="I122">
            <v>55.15</v>
          </cell>
        </row>
        <row r="123">
          <cell r="A123" t="str">
            <v>9.4</v>
          </cell>
          <cell r="B123"/>
          <cell r="C123"/>
          <cell r="D123" t="str">
            <v>ELETRODUTOS</v>
          </cell>
          <cell r="E123"/>
          <cell r="F123"/>
          <cell r="G123"/>
          <cell r="H123"/>
          <cell r="I123">
            <v>5365.67</v>
          </cell>
        </row>
        <row r="124">
          <cell r="A124" t="str">
            <v>9.4.1</v>
          </cell>
          <cell r="B124" t="str">
            <v xml:space="preserve"> 91854 </v>
          </cell>
          <cell r="C124" t="str">
            <v>SINAPI</v>
          </cell>
          <cell r="D124" t="str">
            <v>ELETRODUTO FLEXÍVEL CORRUGADO, PVC, DN 25 MM (3/4"), PARA CIRCUITOS TERMINAIS, INSTALADO EM PAREDE - FORNECIMENTO E INSTALAÇÃO. AF_12/2015</v>
          </cell>
          <cell r="E124" t="str">
            <v>M</v>
          </cell>
          <cell r="F124">
            <v>231.76</v>
          </cell>
          <cell r="G124">
            <v>6.8</v>
          </cell>
          <cell r="H124">
            <v>8.61</v>
          </cell>
          <cell r="I124">
            <v>1995.45</v>
          </cell>
        </row>
        <row r="125">
          <cell r="A125" t="str">
            <v>9.4.2</v>
          </cell>
          <cell r="B125" t="str">
            <v xml:space="preserve"> 97667 </v>
          </cell>
          <cell r="C125" t="str">
            <v>SINAPI</v>
          </cell>
          <cell r="D125" t="str">
            <v>ELETRODUTO FLEXÍVEL CORRUGADO, PEAD, DN 50 (1 ½)  - FORNECIMENTO E INSTALAÇÃO. AF_04/2016</v>
          </cell>
          <cell r="E125" t="str">
            <v>M</v>
          </cell>
          <cell r="F125">
            <v>154.59</v>
          </cell>
          <cell r="G125">
            <v>7.29</v>
          </cell>
          <cell r="H125">
            <v>9.23</v>
          </cell>
          <cell r="I125">
            <v>1426.86</v>
          </cell>
        </row>
        <row r="126">
          <cell r="A126" t="str">
            <v>9.4.3</v>
          </cell>
          <cell r="B126" t="str">
            <v xml:space="preserve"> 97668 </v>
          </cell>
          <cell r="C126" t="str">
            <v>SINAPI</v>
          </cell>
          <cell r="D126" t="str">
            <v>ELETRODUTO FLEXÍVEL CORRUGADO, PEAD, DN 63 (2")  - FORNECIMENTO E INSTALAÇÃO. AF_04/2016</v>
          </cell>
          <cell r="E126" t="str">
            <v>M</v>
          </cell>
          <cell r="F126">
            <v>2.42</v>
          </cell>
          <cell r="G126">
            <v>11.01</v>
          </cell>
          <cell r="H126">
            <v>13.94</v>
          </cell>
          <cell r="I126">
            <v>33.729999999999997</v>
          </cell>
        </row>
        <row r="127">
          <cell r="A127" t="str">
            <v>9.4.4</v>
          </cell>
          <cell r="B127" t="str">
            <v xml:space="preserve"> 97669 </v>
          </cell>
          <cell r="C127" t="str">
            <v>SINAPI</v>
          </cell>
          <cell r="D127" t="str">
            <v>ELETRODUTO FLEXÍVEL CORRUGADO, PEAD, DN 90 (3) - FORNECIMENTO E INSTALAÇÃO. AF_04/2016</v>
          </cell>
          <cell r="E127" t="str">
            <v>M</v>
          </cell>
          <cell r="F127">
            <v>3.09</v>
          </cell>
          <cell r="G127">
            <v>17.11</v>
          </cell>
          <cell r="H127">
            <v>21.67</v>
          </cell>
          <cell r="I127">
            <v>66.959999999999994</v>
          </cell>
        </row>
        <row r="128">
          <cell r="A128" t="str">
            <v>9.4.5</v>
          </cell>
          <cell r="B128" t="str">
            <v xml:space="preserve"> 91872 </v>
          </cell>
          <cell r="C128" t="str">
            <v>SINAPI</v>
          </cell>
          <cell r="D128" t="str">
            <v>ELETRODUTO RÍGIDO ROSCÁVEL, PVC, DN 32 MM (1"), PARA CIRCUITOS TERMINAIS, INSTALADO EM PAREDE - FORNECIMENTO E INSTALAÇÃO. AF_12/2015</v>
          </cell>
          <cell r="E128" t="str">
            <v>M</v>
          </cell>
          <cell r="F128">
            <v>5.84</v>
          </cell>
          <cell r="G128">
            <v>12.28</v>
          </cell>
          <cell r="H128">
            <v>15.55</v>
          </cell>
          <cell r="I128">
            <v>90.81</v>
          </cell>
        </row>
        <row r="129">
          <cell r="A129" t="str">
            <v>9.4.6</v>
          </cell>
          <cell r="B129" t="str">
            <v xml:space="preserve"> 91865 </v>
          </cell>
          <cell r="C129" t="str">
            <v>SINAPI</v>
          </cell>
          <cell r="D129" t="str">
            <v>ELETRODUTO RÍGIDO ROSCÁVEL, PVC, DN 40 MM (1 1/4"), PARA CIRCUITOS TERMINAIS, INSTALADO EM FORRO - FORNECIMENTO E INSTALAÇÃO. AF_12/2015</v>
          </cell>
          <cell r="E129" t="str">
            <v>M</v>
          </cell>
          <cell r="F129">
            <v>13.19</v>
          </cell>
          <cell r="G129">
            <v>14.23</v>
          </cell>
          <cell r="H129">
            <v>18.02</v>
          </cell>
          <cell r="I129">
            <v>237.68</v>
          </cell>
        </row>
        <row r="130">
          <cell r="A130" t="str">
            <v>9.4.7</v>
          </cell>
          <cell r="B130" t="str">
            <v xml:space="preserve"> 93010 </v>
          </cell>
          <cell r="C130" t="str">
            <v>SINAPI</v>
          </cell>
          <cell r="D130" t="str">
            <v>ELETRODUTO RÍGIDO ROSCÁVEL, PVC, DN 75 MM (2 1/2") - FORNECIMENTO E INSTALAÇÃO. AF_12/2015</v>
          </cell>
          <cell r="E130" t="str">
            <v>M</v>
          </cell>
          <cell r="F130">
            <v>6.44</v>
          </cell>
          <cell r="G130">
            <v>26.73</v>
          </cell>
          <cell r="H130">
            <v>33.86</v>
          </cell>
          <cell r="I130">
            <v>218.05</v>
          </cell>
        </row>
        <row r="131">
          <cell r="A131" t="str">
            <v>9.4.8</v>
          </cell>
          <cell r="B131" t="str">
            <v xml:space="preserve"> 93011 </v>
          </cell>
          <cell r="C131" t="str">
            <v>SINAPI</v>
          </cell>
          <cell r="D131" t="str">
            <v>ELETRODUTO RÍGIDO ROSCÁVEL, PVC, DN 85 MM (3") - FORNECIMENTO E INSTALAÇÃO. AF_12/2015</v>
          </cell>
          <cell r="E131" t="str">
            <v>M</v>
          </cell>
          <cell r="F131">
            <v>20.420000000000002</v>
          </cell>
          <cell r="G131">
            <v>32.78</v>
          </cell>
          <cell r="H131">
            <v>41.52</v>
          </cell>
          <cell r="I131">
            <v>847.83</v>
          </cell>
        </row>
        <row r="132">
          <cell r="A132" t="str">
            <v>9.4.9</v>
          </cell>
          <cell r="B132" t="str">
            <v xml:space="preserve"> 171020 </v>
          </cell>
          <cell r="C132" t="str">
            <v>SEDOP</v>
          </cell>
          <cell r="D132" t="str">
            <v>Eletroduto de F°G° de 2"</v>
          </cell>
          <cell r="E132" t="str">
            <v>M</v>
          </cell>
          <cell r="F132">
            <v>7.08</v>
          </cell>
          <cell r="G132">
            <v>49.99</v>
          </cell>
          <cell r="H132">
            <v>63.32</v>
          </cell>
          <cell r="I132">
            <v>448.3</v>
          </cell>
        </row>
        <row r="133">
          <cell r="A133" t="str">
            <v>9.5</v>
          </cell>
          <cell r="B133"/>
          <cell r="C133"/>
          <cell r="D133" t="str">
            <v>CABOS</v>
          </cell>
          <cell r="E133"/>
          <cell r="F133"/>
          <cell r="G133"/>
          <cell r="H133"/>
          <cell r="I133">
            <v>35587.379999999997</v>
          </cell>
        </row>
        <row r="134">
          <cell r="A134" t="str">
            <v>9.5.1</v>
          </cell>
          <cell r="B134" t="str">
            <v xml:space="preserve"> 91927 </v>
          </cell>
          <cell r="C134" t="str">
            <v>SINAPI</v>
          </cell>
          <cell r="D134" t="str">
            <v>CABO DE COBRE FLEXÍVEL ISOLADO, 2,5 MM², ANTI-CHAMA 0,6/1,0 KV, PARA CIRCUITOS TERMINAIS - FORNECIMENTO E INSTALAÇÃO. AF_12/2015</v>
          </cell>
          <cell r="E134" t="str">
            <v>M</v>
          </cell>
          <cell r="F134">
            <v>2014.75</v>
          </cell>
          <cell r="G134">
            <v>5.46</v>
          </cell>
          <cell r="H134">
            <v>6.91</v>
          </cell>
          <cell r="I134">
            <v>13921.92</v>
          </cell>
        </row>
        <row r="135">
          <cell r="A135" t="str">
            <v>9.5.2</v>
          </cell>
          <cell r="B135" t="str">
            <v xml:space="preserve"> 91929 </v>
          </cell>
          <cell r="C135" t="str">
            <v>SINAPI</v>
          </cell>
          <cell r="D135" t="str">
            <v>CABO DE COBRE FLEXÍVEL ISOLADO, 4 MM², ANTI-CHAMA 0,6/1,0 KV, PARA CIRCUITOS TERMINAIS - FORNECIMENTO E INSTALAÇÃO. AF_12/2015</v>
          </cell>
          <cell r="E135" t="str">
            <v>M</v>
          </cell>
          <cell r="F135">
            <v>468.31</v>
          </cell>
          <cell r="G135">
            <v>7.73</v>
          </cell>
          <cell r="H135">
            <v>9.7899999999999991</v>
          </cell>
          <cell r="I135">
            <v>4584.75</v>
          </cell>
        </row>
        <row r="136">
          <cell r="A136" t="str">
            <v>9.5.3</v>
          </cell>
          <cell r="B136" t="str">
            <v xml:space="preserve"> 91931 </v>
          </cell>
          <cell r="C136" t="str">
            <v>SINAPI</v>
          </cell>
          <cell r="D136" t="str">
            <v>CABO DE COBRE FLEXÍVEL ISOLADO, 6 MM², ANTI-CHAMA 0,6/1,0 KV, PARA CIRCUITOS TERMINAIS - FORNECIMENTO E INSTALAÇÃO. AF_12/2015</v>
          </cell>
          <cell r="E136" t="str">
            <v>M</v>
          </cell>
          <cell r="F136">
            <v>163.51</v>
          </cell>
          <cell r="G136">
            <v>10.46</v>
          </cell>
          <cell r="H136">
            <v>13.25</v>
          </cell>
          <cell r="I136">
            <v>2166.5</v>
          </cell>
        </row>
        <row r="137">
          <cell r="A137" t="str">
            <v>9.5.4</v>
          </cell>
          <cell r="B137" t="str">
            <v xml:space="preserve"> 92982 </v>
          </cell>
          <cell r="C137" t="str">
            <v>SINAPI</v>
          </cell>
          <cell r="D137" t="str">
            <v>CABO DE COBRE FLEXÍVEL ISOLADO, 16 MM², ANTI-CHAMA 0,6/1,0 KV, PARA DISTRIBUIÇÃO - FORNECIMENTO E INSTALAÇÃO. AF_12/2015</v>
          </cell>
          <cell r="E137" t="str">
            <v>M</v>
          </cell>
          <cell r="F137">
            <v>66.91</v>
          </cell>
          <cell r="G137">
            <v>18.850000000000001</v>
          </cell>
          <cell r="H137">
            <v>23.87</v>
          </cell>
          <cell r="I137">
            <v>1597.14</v>
          </cell>
        </row>
        <row r="138">
          <cell r="A138" t="str">
            <v>9.5.5</v>
          </cell>
          <cell r="B138" t="str">
            <v xml:space="preserve"> 92984 </v>
          </cell>
          <cell r="C138" t="str">
            <v>SINAPI</v>
          </cell>
          <cell r="D138" t="str">
            <v>CABO DE COBRE FLEXÍVEL ISOLADO, 25 MM², ANTI-CHAMA 0,6/1,0 KV, PARA DISTRIBUIÇÃO - FORNECIMENTO E INSTALAÇÃO. AF_12/2015</v>
          </cell>
          <cell r="E138" t="str">
            <v>M</v>
          </cell>
          <cell r="F138">
            <v>267.62</v>
          </cell>
          <cell r="G138">
            <v>29.86</v>
          </cell>
          <cell r="H138">
            <v>37.82</v>
          </cell>
          <cell r="I138">
            <v>10121.379999999999</v>
          </cell>
        </row>
        <row r="139">
          <cell r="A139" t="str">
            <v>9.5.6</v>
          </cell>
          <cell r="B139" t="str">
            <v xml:space="preserve"> 92986 </v>
          </cell>
          <cell r="C139" t="str">
            <v>SINAPI</v>
          </cell>
          <cell r="D139" t="str">
            <v>CABO DE COBRE FLEXÍVEL ISOLADO, 35 MM², ANTI-CHAMA 0,6/1,0 KV, PARA DISTRIBUIÇÃO - FORNECIMENTO E INSTALAÇÃO. AF_12/2015</v>
          </cell>
          <cell r="E139" t="str">
            <v>M</v>
          </cell>
          <cell r="F139">
            <v>7.08</v>
          </cell>
          <cell r="G139">
            <v>40.65</v>
          </cell>
          <cell r="H139">
            <v>51.49</v>
          </cell>
          <cell r="I139">
            <v>364.54</v>
          </cell>
        </row>
        <row r="140">
          <cell r="A140" t="str">
            <v>9.5.7</v>
          </cell>
          <cell r="B140" t="str">
            <v xml:space="preserve"> 92990 </v>
          </cell>
          <cell r="C140" t="str">
            <v>SINAPI</v>
          </cell>
          <cell r="D140" t="str">
            <v>CABO DE COBRE FLEXÍVEL ISOLADO, 70 MM², ANTI-CHAMA 0,6/1,0 KV, PARA DISTRIBUIÇÃO - FORNECIMENTO E INSTALAÇÃO. AF_12/2015</v>
          </cell>
          <cell r="E140" t="str">
            <v>M</v>
          </cell>
          <cell r="F140">
            <v>28.32</v>
          </cell>
          <cell r="G140">
            <v>78.92</v>
          </cell>
          <cell r="H140">
            <v>99.97</v>
          </cell>
          <cell r="I140">
            <v>2831.15</v>
          </cell>
        </row>
        <row r="141">
          <cell r="A141" t="str">
            <v>9.6</v>
          </cell>
          <cell r="B141"/>
          <cell r="C141"/>
          <cell r="D141" t="str">
            <v>DIVERSOS</v>
          </cell>
          <cell r="E141"/>
          <cell r="F141"/>
          <cell r="G141"/>
          <cell r="H141"/>
          <cell r="I141">
            <v>2680.06</v>
          </cell>
        </row>
        <row r="142">
          <cell r="A142" t="str">
            <v>9.6.1</v>
          </cell>
          <cell r="B142" t="str">
            <v xml:space="preserve"> 170880 </v>
          </cell>
          <cell r="C142" t="str">
            <v>SEDOP</v>
          </cell>
          <cell r="D142" t="str">
            <v>Caixa de passagem em aluminio 400x400x180mm</v>
          </cell>
          <cell r="E142" t="str">
            <v>UN</v>
          </cell>
          <cell r="F142">
            <v>3</v>
          </cell>
          <cell r="G142">
            <v>430.84</v>
          </cell>
          <cell r="H142">
            <v>545.78</v>
          </cell>
          <cell r="I142">
            <v>1637.34</v>
          </cell>
        </row>
        <row r="143">
          <cell r="A143" t="str">
            <v>9.6.2</v>
          </cell>
          <cell r="B143" t="str">
            <v xml:space="preserve"> 171131 </v>
          </cell>
          <cell r="C143" t="str">
            <v>SEDOP</v>
          </cell>
          <cell r="D143" t="str">
            <v>Braçadeira tipo "D' p/ elet de 1"</v>
          </cell>
          <cell r="E143" t="str">
            <v>UN</v>
          </cell>
          <cell r="F143">
            <v>5</v>
          </cell>
          <cell r="G143">
            <v>2.57</v>
          </cell>
          <cell r="H143">
            <v>3.25</v>
          </cell>
          <cell r="I143">
            <v>16.25</v>
          </cell>
        </row>
        <row r="144">
          <cell r="A144" t="str">
            <v>9.6.3</v>
          </cell>
          <cell r="B144" t="str">
            <v xml:space="preserve"> 171134 </v>
          </cell>
          <cell r="C144" t="str">
            <v>SEDOP</v>
          </cell>
          <cell r="D144" t="str">
            <v>Braçadeira tipo "D' p/ elet de 2 1/2"</v>
          </cell>
          <cell r="E144" t="str">
            <v>UN</v>
          </cell>
          <cell r="F144">
            <v>6</v>
          </cell>
          <cell r="G144">
            <v>4.3899999999999997</v>
          </cell>
          <cell r="H144">
            <v>5.56</v>
          </cell>
          <cell r="I144">
            <v>33.36</v>
          </cell>
        </row>
        <row r="145">
          <cell r="A145" t="str">
            <v>9.6.4</v>
          </cell>
          <cell r="B145" t="str">
            <v xml:space="preserve"> CP025 </v>
          </cell>
          <cell r="C145" t="str">
            <v>Próprio</v>
          </cell>
          <cell r="D145" t="str">
            <v>ABRACADEIRA EM ACO PARA AMARRACAO DE ELETRODUTOS, TIPO D, COM 3” E CUNHA DE FIXACAO</v>
          </cell>
          <cell r="E145" t="str">
            <v>UN</v>
          </cell>
          <cell r="F145">
            <v>20</v>
          </cell>
          <cell r="G145">
            <v>18.350000000000001</v>
          </cell>
          <cell r="H145">
            <v>23.24</v>
          </cell>
          <cell r="I145">
            <v>464.8</v>
          </cell>
        </row>
        <row r="146">
          <cell r="A146" t="str">
            <v>9.6.5</v>
          </cell>
          <cell r="B146" t="str">
            <v xml:space="preserve"> CP026 </v>
          </cell>
          <cell r="C146" t="str">
            <v>Próprio</v>
          </cell>
          <cell r="D146" t="str">
            <v>ABRACADEIRA EM ACO PARA AMARRACAO DE ELETRODUTOS, TIPO D, COM 2” E CUNHA DE FIXACAO</v>
          </cell>
          <cell r="E146" t="str">
            <v>UN</v>
          </cell>
          <cell r="F146">
            <v>7</v>
          </cell>
          <cell r="G146">
            <v>17.61</v>
          </cell>
          <cell r="H146">
            <v>22.3</v>
          </cell>
          <cell r="I146">
            <v>156.1</v>
          </cell>
        </row>
        <row r="147">
          <cell r="A147" t="str">
            <v>9.6.6</v>
          </cell>
          <cell r="B147" t="str">
            <v xml:space="preserve"> CP021 </v>
          </cell>
          <cell r="C147" t="str">
            <v>Próprio</v>
          </cell>
          <cell r="D147" t="str">
            <v>ABRACADEIRA EM ACO PARA AMARRACAO DE ELETRODUTOS, TIPO D, COM 1 1/4” E CUNHA DE FIXACAO</v>
          </cell>
          <cell r="E147" t="str">
            <v>UN</v>
          </cell>
          <cell r="F147">
            <v>12</v>
          </cell>
          <cell r="G147">
            <v>3.33</v>
          </cell>
          <cell r="H147">
            <v>4.21</v>
          </cell>
          <cell r="I147">
            <v>50.52</v>
          </cell>
        </row>
        <row r="148">
          <cell r="A148" t="str">
            <v>9.6.7</v>
          </cell>
          <cell r="B148" t="str">
            <v xml:space="preserve"> 91885 </v>
          </cell>
          <cell r="C148" t="str">
            <v>SINAPI</v>
          </cell>
          <cell r="D148" t="str">
            <v>LUVA PARA ELETRODUTO, PVC, ROSCÁVEL, DN 32 MM (1"), PARA CIRCUITOS TERMINAIS, INSTALADA EM PAREDE - FORNECIMENTO E INSTALAÇÃO. AF_12/2015</v>
          </cell>
          <cell r="E148" t="str">
            <v>UN</v>
          </cell>
          <cell r="F148">
            <v>1</v>
          </cell>
          <cell r="G148">
            <v>7.77</v>
          </cell>
          <cell r="H148">
            <v>9.84</v>
          </cell>
          <cell r="I148">
            <v>9.84</v>
          </cell>
        </row>
        <row r="149">
          <cell r="A149" t="str">
            <v>9.6.8</v>
          </cell>
          <cell r="B149" t="str">
            <v xml:space="preserve"> 91886 </v>
          </cell>
          <cell r="C149" t="str">
            <v>SINAPI</v>
          </cell>
          <cell r="D149" t="str">
            <v>LUVA PARA ELETRODUTO, PVC, ROSCÁVEL, DN 40 MM (1 1/4"), PARA CIRCUITOS TERMINAIS, INSTALADA EM PAREDE - FORNECIMENTO E INSTALAÇÃO. AF_12/2015</v>
          </cell>
          <cell r="E149" t="str">
            <v>UN</v>
          </cell>
          <cell r="F149">
            <v>4</v>
          </cell>
          <cell r="G149">
            <v>9.5399999999999991</v>
          </cell>
          <cell r="H149">
            <v>12.08</v>
          </cell>
          <cell r="I149">
            <v>48.32</v>
          </cell>
        </row>
        <row r="150">
          <cell r="A150" t="str">
            <v>9.6.9</v>
          </cell>
          <cell r="B150" t="str">
            <v xml:space="preserve"> 93015 </v>
          </cell>
          <cell r="C150" t="str">
            <v>SINAPI</v>
          </cell>
          <cell r="D150" t="str">
            <v>LUVA PARA ELETRODUTO, PVC, ROSCÁVEL, DN 75 MM (2 1/2") - FORNECIMENTO E INSTALAÇÃO. AF_12/2015</v>
          </cell>
          <cell r="E150" t="str">
            <v>UN</v>
          </cell>
          <cell r="F150">
            <v>1</v>
          </cell>
          <cell r="G150">
            <v>21.42</v>
          </cell>
          <cell r="H150">
            <v>27.13</v>
          </cell>
          <cell r="I150">
            <v>27.13</v>
          </cell>
        </row>
        <row r="151">
          <cell r="A151" t="str">
            <v>9.6.10</v>
          </cell>
          <cell r="B151" t="str">
            <v xml:space="preserve"> 93016 </v>
          </cell>
          <cell r="C151" t="str">
            <v>SINAPI</v>
          </cell>
          <cell r="D151" t="str">
            <v>LUVA PARA ELETRODUTO, PVC, ROSCÁVEL, DN 85 MM (3") - FORNECIMENTO E INSTALAÇÃO. AF_12/2015</v>
          </cell>
          <cell r="E151" t="str">
            <v>UN</v>
          </cell>
          <cell r="F151">
            <v>6</v>
          </cell>
          <cell r="G151">
            <v>26.34</v>
          </cell>
          <cell r="H151">
            <v>33.36</v>
          </cell>
          <cell r="I151">
            <v>200.16</v>
          </cell>
        </row>
        <row r="152">
          <cell r="A152" t="str">
            <v>9.6.11</v>
          </cell>
          <cell r="B152" t="str">
            <v xml:space="preserve"> CP022 </v>
          </cell>
          <cell r="C152" t="str">
            <v>Próprio</v>
          </cell>
          <cell r="D152" t="str">
            <v>LUVA DE EMENDA PARA ELETRODUTO, AÇO GALVANIZADO, DN 50 MM (2''), APARENTE, INSTALADA EM PAREDE - FORNECIMENTO E INSTALAÇÃO</v>
          </cell>
          <cell r="E152" t="str">
            <v>UN</v>
          </cell>
          <cell r="F152">
            <v>2</v>
          </cell>
          <cell r="G152">
            <v>14.31</v>
          </cell>
          <cell r="H152">
            <v>18.12</v>
          </cell>
          <cell r="I152">
            <v>36.24</v>
          </cell>
        </row>
        <row r="153">
          <cell r="A153">
            <v>10</v>
          </cell>
          <cell r="B153"/>
          <cell r="C153"/>
          <cell r="D153" t="str">
            <v>INSTALAÇÃO DE CENTRAL DE AR</v>
          </cell>
          <cell r="E153"/>
          <cell r="F153"/>
          <cell r="G153"/>
          <cell r="H153"/>
          <cell r="I153">
            <v>45308.37</v>
          </cell>
        </row>
        <row r="154">
          <cell r="A154" t="str">
            <v>10.1</v>
          </cell>
          <cell r="B154" t="str">
            <v xml:space="preserve"> 231308 </v>
          </cell>
          <cell r="C154" t="str">
            <v>SEDOP</v>
          </cell>
          <cell r="D154" t="str">
            <v>Aparelho Air-Split - 9.000 BTU</v>
          </cell>
          <cell r="E154" t="str">
            <v>UN</v>
          </cell>
          <cell r="F154">
            <v>4</v>
          </cell>
          <cell r="G154">
            <v>2229.8000000000002</v>
          </cell>
          <cell r="H154">
            <v>2824.71</v>
          </cell>
          <cell r="I154">
            <v>11298.84</v>
          </cell>
        </row>
        <row r="155">
          <cell r="A155" t="str">
            <v>10.2</v>
          </cell>
          <cell r="B155" t="str">
            <v xml:space="preserve"> 231309 </v>
          </cell>
          <cell r="C155" t="str">
            <v>SEDOP</v>
          </cell>
          <cell r="D155" t="str">
            <v>Aparelho Air-Split - 12.000 BTU</v>
          </cell>
          <cell r="E155" t="str">
            <v>UN</v>
          </cell>
          <cell r="F155">
            <v>8</v>
          </cell>
          <cell r="G155">
            <v>2643.39</v>
          </cell>
          <cell r="H155">
            <v>3348.64</v>
          </cell>
          <cell r="I155">
            <v>26789.119999999999</v>
          </cell>
        </row>
        <row r="156">
          <cell r="A156" t="str">
            <v>10.3</v>
          </cell>
          <cell r="B156" t="str">
            <v xml:space="preserve"> 231310 </v>
          </cell>
          <cell r="C156" t="str">
            <v>SEDOP</v>
          </cell>
          <cell r="D156" t="str">
            <v>Aparelho Air-Split - 18.000 BTU's - Inverter</v>
          </cell>
          <cell r="E156" t="str">
            <v>UN</v>
          </cell>
          <cell r="F156">
            <v>1</v>
          </cell>
          <cell r="G156">
            <v>3383.99</v>
          </cell>
          <cell r="H156">
            <v>4286.83</v>
          </cell>
          <cell r="I156">
            <v>4286.83</v>
          </cell>
        </row>
        <row r="157">
          <cell r="A157" t="str">
            <v>10.4</v>
          </cell>
          <cell r="B157" t="str">
            <v xml:space="preserve"> 231084 </v>
          </cell>
          <cell r="C157" t="str">
            <v>SEDOP</v>
          </cell>
          <cell r="D157" t="str">
            <v>Ponto de dreno p/ split (10m)</v>
          </cell>
          <cell r="E157" t="str">
            <v>PT</v>
          </cell>
          <cell r="F157">
            <v>13</v>
          </cell>
          <cell r="G157">
            <v>178.14</v>
          </cell>
          <cell r="H157">
            <v>225.66</v>
          </cell>
          <cell r="I157">
            <v>2933.58</v>
          </cell>
        </row>
        <row r="158">
          <cell r="A158">
            <v>11</v>
          </cell>
          <cell r="B158"/>
          <cell r="C158"/>
          <cell r="D158" t="str">
            <v>PREVENÇÃO E COMBATE À INCÊNDIO</v>
          </cell>
          <cell r="E158"/>
          <cell r="F158"/>
          <cell r="G158"/>
          <cell r="H158"/>
          <cell r="I158">
            <v>3985.6</v>
          </cell>
        </row>
        <row r="159">
          <cell r="A159" t="str">
            <v>11.1</v>
          </cell>
          <cell r="B159" t="str">
            <v xml:space="preserve"> 201507 </v>
          </cell>
          <cell r="C159" t="str">
            <v>SEDOP</v>
          </cell>
          <cell r="D159" t="str">
            <v>Extintor de incêndio ABC -  6Kg</v>
          </cell>
          <cell r="E159" t="str">
            <v>UN</v>
          </cell>
          <cell r="F159">
            <v>3</v>
          </cell>
          <cell r="G159">
            <v>199.5</v>
          </cell>
          <cell r="H159">
            <v>252.72</v>
          </cell>
          <cell r="I159">
            <v>758.16</v>
          </cell>
        </row>
        <row r="160">
          <cell r="A160" t="str">
            <v>11.2</v>
          </cell>
          <cell r="B160" t="str">
            <v xml:space="preserve"> 241468 </v>
          </cell>
          <cell r="C160" t="str">
            <v>SEDOP</v>
          </cell>
          <cell r="D160" t="str">
            <v>Placa de sinalização fotoluminoscente</v>
          </cell>
          <cell r="E160" t="str">
            <v>UN</v>
          </cell>
          <cell r="F160">
            <v>20</v>
          </cell>
          <cell r="G160">
            <v>33.14</v>
          </cell>
          <cell r="H160">
            <v>41.98</v>
          </cell>
          <cell r="I160">
            <v>839.6</v>
          </cell>
        </row>
        <row r="161">
          <cell r="A161" t="str">
            <v>11.3</v>
          </cell>
          <cell r="B161" t="str">
            <v xml:space="preserve"> 170081 </v>
          </cell>
          <cell r="C161" t="str">
            <v>SEDOP</v>
          </cell>
          <cell r="D161" t="str">
            <v>Ponto de luz / força (c/tubul., cx. e fiaçao) ate 200W</v>
          </cell>
          <cell r="E161" t="str">
            <v>PT</v>
          </cell>
          <cell r="F161">
            <v>8</v>
          </cell>
          <cell r="G161">
            <v>208.24</v>
          </cell>
          <cell r="H161">
            <v>263.79000000000002</v>
          </cell>
          <cell r="I161">
            <v>2110.3200000000002</v>
          </cell>
        </row>
        <row r="162">
          <cell r="A162" t="str">
            <v>11.4</v>
          </cell>
          <cell r="B162" t="str">
            <v xml:space="preserve"> 97599 </v>
          </cell>
          <cell r="C162" t="str">
            <v>SINAPI</v>
          </cell>
          <cell r="D162" t="str">
            <v>LUMINÁRIA DE EMERGÊNCIA, COM 30 LÂMPADAS LED DE 2 W, SEM REATOR - FORNECIMENTO E INSTALAÇÃO. AF_02/2020</v>
          </cell>
          <cell r="E162" t="str">
            <v>UN</v>
          </cell>
          <cell r="F162">
            <v>8</v>
          </cell>
          <cell r="G162">
            <v>27.39</v>
          </cell>
          <cell r="H162">
            <v>34.69</v>
          </cell>
          <cell r="I162">
            <v>277.52</v>
          </cell>
        </row>
        <row r="163">
          <cell r="A163">
            <v>12</v>
          </cell>
          <cell r="B163"/>
          <cell r="C163"/>
          <cell r="D163" t="str">
            <v>LIMPEZA DA OBRA</v>
          </cell>
          <cell r="E163"/>
          <cell r="F163"/>
          <cell r="G163"/>
          <cell r="H163"/>
          <cell r="I163">
            <v>14366.07</v>
          </cell>
        </row>
        <row r="164">
          <cell r="A164" t="str">
            <v>12.1</v>
          </cell>
          <cell r="B164" t="str">
            <v xml:space="preserve"> 100984 </v>
          </cell>
          <cell r="C164" t="str">
            <v>SINAPI</v>
          </cell>
          <cell r="D164" t="str">
            <v>CARGA, MANOBRA E DESCARGA DE ENTULHO EM CAMINHÃO BASCULANTE 18 M³ - CARGA COM ESCAVADEIRA HIDRÁULICA  (CAÇAMBA DE 0,80 M³ / 111 HP) E DESCARGA LIVRE (UNIDADE: M3). AF_07/2020</v>
          </cell>
          <cell r="E164" t="str">
            <v>m³</v>
          </cell>
          <cell r="F164">
            <v>261.02999999999997</v>
          </cell>
          <cell r="G164">
            <v>6.77</v>
          </cell>
          <cell r="H164">
            <v>8.57</v>
          </cell>
          <cell r="I164">
            <v>2237.02</v>
          </cell>
        </row>
        <row r="165">
          <cell r="A165" t="str">
            <v>12.2</v>
          </cell>
          <cell r="B165" t="str">
            <v xml:space="preserve"> 95877 </v>
          </cell>
          <cell r="C165" t="str">
            <v>SINAPI</v>
          </cell>
          <cell r="D165" t="str">
            <v>TRANSPORTE COM CAMINHÃO BASCULANTE DE 18 M³, EM VIA URBANA PAVIMENTADA, DMT ATÉ 30 KM (UNIDADE: M3XKM). AF_07/2020</v>
          </cell>
          <cell r="E165" t="str">
            <v>M3XKM</v>
          </cell>
          <cell r="F165">
            <v>5481.63</v>
          </cell>
          <cell r="G165">
            <v>1.38</v>
          </cell>
          <cell r="H165">
            <v>1.74</v>
          </cell>
          <cell r="I165">
            <v>9538.0300000000007</v>
          </cell>
        </row>
        <row r="166">
          <cell r="A166" t="str">
            <v>12.3</v>
          </cell>
          <cell r="B166" t="str">
            <v xml:space="preserve"> 270220 </v>
          </cell>
          <cell r="C166" t="str">
            <v>SEDOP</v>
          </cell>
          <cell r="D166" t="str">
            <v>Limpeza geral e entrega da obra</v>
          </cell>
          <cell r="E166" t="str">
            <v>m²</v>
          </cell>
          <cell r="F166">
            <v>340.03</v>
          </cell>
          <cell r="G166">
            <v>6.02</v>
          </cell>
          <cell r="H166">
            <v>7.62</v>
          </cell>
          <cell r="I166">
            <v>2591.02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TRACAPA"/>
      <sheetName val="SINTÉTICO"/>
      <sheetName val="BDI"/>
      <sheetName val="CPU"/>
      <sheetName val="MEMÓRIA"/>
      <sheetName val="CRONOGRAMA"/>
      <sheetName val="RELATÓRIO FOTOGRÁFICO"/>
      <sheetName val="ENCARGOS SOCIAIS"/>
    </sheetNames>
    <sheetDataSet>
      <sheetData sheetId="0"/>
      <sheetData sheetId="1"/>
      <sheetData sheetId="2"/>
      <sheetData sheetId="3">
        <row r="2">
          <cell r="I2">
            <v>0.29070000000000001</v>
          </cell>
        </row>
        <row r="9">
          <cell r="A9">
            <v>1</v>
          </cell>
          <cell r="B9"/>
          <cell r="C9"/>
          <cell r="D9" t="str">
            <v>ADMINISTRAÇÃO LOCAL DA OBRA</v>
          </cell>
          <cell r="E9"/>
          <cell r="F9"/>
          <cell r="G9"/>
          <cell r="H9"/>
          <cell r="I9">
            <v>62988.6</v>
          </cell>
          <cell r="J9">
            <v>4.8899999999999999E-2</v>
          </cell>
        </row>
        <row r="10">
          <cell r="A10" t="str">
            <v>1.1</v>
          </cell>
          <cell r="B10" t="str">
            <v>CP059</v>
          </cell>
          <cell r="C10" t="str">
            <v>Próprio</v>
          </cell>
          <cell r="D10" t="str">
            <v>ADMINISTRAÇÃO LOCAL DA OBRA MATINHA</v>
          </cell>
          <cell r="E10" t="str">
            <v>MÊS</v>
          </cell>
          <cell r="F10">
            <v>12</v>
          </cell>
          <cell r="G10">
            <v>4066.83</v>
          </cell>
          <cell r="H10">
            <v>5249.05</v>
          </cell>
          <cell r="I10">
            <v>62988.6</v>
          </cell>
          <cell r="J10">
            <v>4.8860000000000001E-2</v>
          </cell>
        </row>
        <row r="11">
          <cell r="A11">
            <v>2</v>
          </cell>
          <cell r="B11"/>
          <cell r="C11"/>
          <cell r="D11" t="str">
            <v>SERVIÇOS PRELIMINARES</v>
          </cell>
          <cell r="E11"/>
          <cell r="F11"/>
          <cell r="G11"/>
          <cell r="H11"/>
          <cell r="I11">
            <v>43296.93</v>
          </cell>
          <cell r="J11">
            <v>3.3599999999999998E-2</v>
          </cell>
        </row>
        <row r="12">
          <cell r="A12" t="str">
            <v>2.1</v>
          </cell>
          <cell r="B12">
            <v>10004</v>
          </cell>
          <cell r="C12" t="str">
            <v>SEDOP</v>
          </cell>
          <cell r="D12" t="str">
            <v>Placa da obra em chapa galvanizada</v>
          </cell>
          <cell r="E12" t="str">
            <v>m²</v>
          </cell>
          <cell r="F12">
            <v>6</v>
          </cell>
          <cell r="G12">
            <v>469.72</v>
          </cell>
          <cell r="H12">
            <v>606.26</v>
          </cell>
          <cell r="I12">
            <v>3637.56</v>
          </cell>
          <cell r="J12">
            <v>2.82E-3</v>
          </cell>
        </row>
        <row r="13">
          <cell r="A13" t="str">
            <v>2.2</v>
          </cell>
          <cell r="B13">
            <v>10002</v>
          </cell>
          <cell r="C13" t="str">
            <v>SEDOP</v>
          </cell>
          <cell r="D13" t="str">
            <v>Levantamento planimetrico c/ aparelho</v>
          </cell>
          <cell r="E13" t="str">
            <v>m²</v>
          </cell>
          <cell r="F13">
            <v>900</v>
          </cell>
          <cell r="G13">
            <v>0.89</v>
          </cell>
          <cell r="H13">
            <v>1.1399999999999999</v>
          </cell>
          <cell r="I13">
            <v>1026</v>
          </cell>
          <cell r="J13">
            <v>8.0000000000000004E-4</v>
          </cell>
        </row>
        <row r="14">
          <cell r="A14" t="str">
            <v>2.3</v>
          </cell>
          <cell r="B14">
            <v>10009</v>
          </cell>
          <cell r="C14" t="str">
            <v>SEDOP</v>
          </cell>
          <cell r="D14" t="str">
            <v>Locação da obra a trena</v>
          </cell>
          <cell r="E14" t="str">
            <v>m²</v>
          </cell>
          <cell r="F14">
            <v>419.52</v>
          </cell>
          <cell r="G14">
            <v>4.58</v>
          </cell>
          <cell r="H14">
            <v>5.91</v>
          </cell>
          <cell r="I14">
            <v>2479.36</v>
          </cell>
          <cell r="J14">
            <v>1.92E-3</v>
          </cell>
        </row>
        <row r="15">
          <cell r="A15" t="str">
            <v>2.4</v>
          </cell>
          <cell r="B15">
            <v>10003</v>
          </cell>
          <cell r="C15" t="str">
            <v>SEDOP</v>
          </cell>
          <cell r="D15" t="str">
            <v>Tapume c/ chapa de madeirit e=10mm (h=2.20m)</v>
          </cell>
          <cell r="E15" t="str">
            <v>m²</v>
          </cell>
          <cell r="F15">
            <v>75</v>
          </cell>
          <cell r="G15">
            <v>85.92</v>
          </cell>
          <cell r="H15">
            <v>110.89</v>
          </cell>
          <cell r="I15">
            <v>8316.75</v>
          </cell>
          <cell r="J15">
            <v>6.45E-3</v>
          </cell>
        </row>
        <row r="16">
          <cell r="A16" t="str">
            <v>2.5</v>
          </cell>
          <cell r="B16">
            <v>101501</v>
          </cell>
          <cell r="C16" t="str">
            <v>SINAPI</v>
          </cell>
          <cell r="D16" t="str">
            <v>ENTRADA DE ENERGIA ELÉTRICA, AÉREA, BIFÁSICA, COM CAIXA DE EMBUTIR, CABO DE 10 MM2 E DISJUNTOR DIN 50A (NÃO INCLUSO O POSTE DE CONCRETO). AF_07/2020_P</v>
          </cell>
          <cell r="E16" t="str">
            <v>UN</v>
          </cell>
          <cell r="F16">
            <v>1</v>
          </cell>
          <cell r="G16">
            <v>1265.06</v>
          </cell>
          <cell r="H16">
            <v>1632.81</v>
          </cell>
          <cell r="I16">
            <v>1632.81</v>
          </cell>
          <cell r="J16">
            <v>1.2700000000000001E-3</v>
          </cell>
        </row>
        <row r="17">
          <cell r="A17" t="str">
            <v>2.6</v>
          </cell>
          <cell r="B17">
            <v>93207</v>
          </cell>
          <cell r="C17" t="str">
            <v>SINAPI</v>
          </cell>
          <cell r="D17" t="str">
            <v>EXECUÇÃO DE ESCRITÓRIO EM CANTEIRO DE OBRA EM CHAPA DE MADEIRA COMPENSADA, NÃO INCLUSO MOBILIÁRIO E EQUIPAMENTOS. AF_02/2016</v>
          </cell>
          <cell r="E17" t="str">
            <v>m²</v>
          </cell>
          <cell r="F17">
            <v>4</v>
          </cell>
          <cell r="G17">
            <v>970.95</v>
          </cell>
          <cell r="H17">
            <v>1253.2</v>
          </cell>
          <cell r="I17">
            <v>5012.8</v>
          </cell>
          <cell r="J17">
            <v>3.8899999999999998E-3</v>
          </cell>
        </row>
        <row r="18">
          <cell r="A18" t="str">
            <v>2.7</v>
          </cell>
          <cell r="B18">
            <v>93584</v>
          </cell>
          <cell r="C18" t="str">
            <v>SINAPI</v>
          </cell>
          <cell r="D18" t="str">
            <v>EXECUÇÃO DE DEPÓSITO EM CANTEIRO DE OBRA EM CHAPA DE MADEIRA COMPENSADA, NÃO INCLUSO MOBILIÁRIO. AF_04/2016</v>
          </cell>
          <cell r="E18" t="str">
            <v>m²</v>
          </cell>
          <cell r="F18">
            <v>12</v>
          </cell>
          <cell r="G18">
            <v>762.04</v>
          </cell>
          <cell r="H18">
            <v>983.56</v>
          </cell>
          <cell r="I18">
            <v>11802.72</v>
          </cell>
          <cell r="J18">
            <v>9.1500000000000001E-3</v>
          </cell>
        </row>
        <row r="19">
          <cell r="A19" t="str">
            <v>2.8</v>
          </cell>
          <cell r="B19">
            <v>93212</v>
          </cell>
          <cell r="C19" t="str">
            <v>SINAPI</v>
          </cell>
          <cell r="D19" t="str">
            <v>EXECUÇÃO DE SANITÁRIO E VESTIÁRIO EM CANTEIRO DE OBRA EM CHAPA DE MADEIRA COMPENSADA, NÃO INCLUSO MOBILIÁRIO. AF_02/2016</v>
          </cell>
          <cell r="E19" t="str">
            <v>m²</v>
          </cell>
          <cell r="F19">
            <v>7.4</v>
          </cell>
          <cell r="G19">
            <v>888.69</v>
          </cell>
          <cell r="H19">
            <v>1147.03</v>
          </cell>
          <cell r="I19">
            <v>8488.02</v>
          </cell>
          <cell r="J19">
            <v>6.5799999999999999E-3</v>
          </cell>
        </row>
        <row r="20">
          <cell r="A20" t="str">
            <v>2.9</v>
          </cell>
          <cell r="B20">
            <v>97622</v>
          </cell>
          <cell r="C20" t="str">
            <v>SINAPI</v>
          </cell>
          <cell r="D20" t="str">
            <v>DEMOLIÇÃO DE ALVENARIA DE BLOCO FURADO, DE FORMA MANUAL, SEM REAPROVEITAMENTO. AF_12/2017</v>
          </cell>
          <cell r="E20" t="str">
            <v>m³</v>
          </cell>
          <cell r="F20">
            <v>17.78</v>
          </cell>
          <cell r="G20">
            <v>39.26</v>
          </cell>
          <cell r="H20">
            <v>50.67</v>
          </cell>
          <cell r="I20">
            <v>900.91</v>
          </cell>
          <cell r="J20">
            <v>6.9999999999999999E-4</v>
          </cell>
        </row>
        <row r="21">
          <cell r="A21">
            <v>3</v>
          </cell>
          <cell r="B21"/>
          <cell r="C21"/>
          <cell r="D21" t="str">
            <v>MOVIMENTO DE TERRA</v>
          </cell>
          <cell r="E21"/>
          <cell r="F21"/>
          <cell r="G21"/>
          <cell r="H21"/>
          <cell r="I21">
            <v>21584.02</v>
          </cell>
          <cell r="J21">
            <v>1.6799999999999999E-2</v>
          </cell>
        </row>
        <row r="22">
          <cell r="A22" t="str">
            <v>3.1</v>
          </cell>
          <cell r="B22">
            <v>101116</v>
          </cell>
          <cell r="C22" t="str">
            <v>SINAPI</v>
          </cell>
          <cell r="D22" t="str">
            <v>ESCAVAÇÃO HORIZONTAL EM SOLO DE 1A CATEGORIA COM TRATOR DE ESTEIRAS (170HP/LÂMINA: 5,20M3). AF_07/2020</v>
          </cell>
          <cell r="E22" t="str">
            <v>m³</v>
          </cell>
          <cell r="F22">
            <v>231.69</v>
          </cell>
          <cell r="G22">
            <v>1.54</v>
          </cell>
          <cell r="H22">
            <v>1.98</v>
          </cell>
          <cell r="I22">
            <v>458.74</v>
          </cell>
          <cell r="J22">
            <v>3.6000000000000002E-4</v>
          </cell>
        </row>
        <row r="23">
          <cell r="A23" t="str">
            <v>3.2</v>
          </cell>
          <cell r="B23">
            <v>100979</v>
          </cell>
          <cell r="C23" t="str">
            <v>SINAPI</v>
          </cell>
          <cell r="D23" t="str">
            <v>CARGA, MANOBRA E DESCARGA DE SOLOS E MATERIAIS GRANULARES EM CAMINHÃO BASCULANTE 14 M³ - CARGA COM ESCAVADEIRA HIDRÁULICA (CAÇAMBA DE 1,20 M³ / 155 HP) E DESCARGA LIVRE (UNIDADE: M3). AF_07/2020</v>
          </cell>
          <cell r="E23" t="str">
            <v>m³</v>
          </cell>
          <cell r="F23">
            <v>289.61</v>
          </cell>
          <cell r="G23">
            <v>5.0199999999999996</v>
          </cell>
          <cell r="H23">
            <v>6.47</v>
          </cell>
          <cell r="I23">
            <v>1873.77</v>
          </cell>
          <cell r="J23">
            <v>1.4499999999999999E-3</v>
          </cell>
        </row>
        <row r="24">
          <cell r="A24" t="str">
            <v>3.3</v>
          </cell>
          <cell r="B24">
            <v>93593</v>
          </cell>
          <cell r="C24" t="str">
            <v>SINAPI</v>
          </cell>
          <cell r="D24" t="str">
            <v>TRANSPORTE COM CAMINHÃO BASCULANTE DE 14 M³, EM VIA URBANA PAVIMENTADA, ADICIONAL PARA DMT EXCEDENTE A 30 KM (UNIDADE: M3XKM). AF_07/2020</v>
          </cell>
          <cell r="E24" t="str">
            <v>M3XKM</v>
          </cell>
          <cell r="F24">
            <v>6081.81</v>
          </cell>
          <cell r="G24">
            <v>0.65</v>
          </cell>
          <cell r="H24">
            <v>0.83</v>
          </cell>
          <cell r="I24">
            <v>5047.8999999999996</v>
          </cell>
          <cell r="J24">
            <v>3.9199999999999999E-3</v>
          </cell>
        </row>
        <row r="25">
          <cell r="A25" t="str">
            <v>3.4</v>
          </cell>
          <cell r="B25" t="str">
            <v>CP069</v>
          </cell>
          <cell r="C25" t="str">
            <v>Próprio</v>
          </cell>
          <cell r="D25" t="str">
            <v>EXECUÇÃO E COMPACTAÇÃO DE ATERRO COM SOLO PREDOMINANTEMENTE ARGILOSO - EXCLUSIVE ESCAVAÇÃO, CARGA E TRANSPORTE.</v>
          </cell>
          <cell r="E25" t="str">
            <v>M³</v>
          </cell>
          <cell r="F25">
            <v>231.69</v>
          </cell>
          <cell r="G25">
            <v>17.75</v>
          </cell>
          <cell r="H25">
            <v>22.9</v>
          </cell>
          <cell r="I25">
            <v>5305.7</v>
          </cell>
          <cell r="J25">
            <v>4.1200000000000004E-3</v>
          </cell>
        </row>
        <row r="26">
          <cell r="A26" t="str">
            <v>3.5</v>
          </cell>
          <cell r="B26">
            <v>96522</v>
          </cell>
          <cell r="C26" t="str">
            <v>SINAPI</v>
          </cell>
          <cell r="D26" t="str">
            <v>ESCAVAÇÃO MANUAL PARA BLOCO DE COROAMENTO OU SAPATA (SEM ESCAVAÇÃO PARA COLOCAÇÃO DE FÔRMAS). AF_06/2017</v>
          </cell>
          <cell r="E26" t="str">
            <v>m³</v>
          </cell>
          <cell r="F26">
            <v>35.9</v>
          </cell>
          <cell r="G26">
            <v>107.04</v>
          </cell>
          <cell r="H26">
            <v>138.15</v>
          </cell>
          <cell r="I26">
            <v>4959.58</v>
          </cell>
          <cell r="J26">
            <v>3.8500000000000001E-3</v>
          </cell>
        </row>
        <row r="27">
          <cell r="A27" t="str">
            <v>3.6</v>
          </cell>
          <cell r="B27">
            <v>96526</v>
          </cell>
          <cell r="C27" t="str">
            <v>SINAPI</v>
          </cell>
          <cell r="D27" t="str">
            <v>ESCAVAÇÃO MANUAL DE VALA PARA VIGA BALDRAME (SEM ESCAVAÇÃO PARA COLOCAÇÃO DE FÔRMAS). AF_06/2017</v>
          </cell>
          <cell r="E27" t="str">
            <v>m³</v>
          </cell>
          <cell r="F27">
            <v>9.4499999999999993</v>
          </cell>
          <cell r="G27">
            <v>216.03</v>
          </cell>
          <cell r="H27">
            <v>278.82</v>
          </cell>
          <cell r="I27">
            <v>2634.84</v>
          </cell>
          <cell r="J27">
            <v>2.0400000000000001E-3</v>
          </cell>
        </row>
        <row r="28">
          <cell r="A28" t="str">
            <v>3.7</v>
          </cell>
          <cell r="B28">
            <v>96995</v>
          </cell>
          <cell r="C28" t="str">
            <v>SINAPI</v>
          </cell>
          <cell r="D28" t="str">
            <v>REATERRO MANUAL APILOADO COM SOQUETE. AF_10/2017</v>
          </cell>
          <cell r="E28" t="str">
            <v>m³</v>
          </cell>
          <cell r="F28">
            <v>27.96</v>
          </cell>
          <cell r="G28">
            <v>36.119999999999997</v>
          </cell>
          <cell r="H28">
            <v>46.62</v>
          </cell>
          <cell r="I28">
            <v>1303.49</v>
          </cell>
          <cell r="J28">
            <v>1.01E-3</v>
          </cell>
        </row>
        <row r="29">
          <cell r="A29">
            <v>4</v>
          </cell>
          <cell r="B29"/>
          <cell r="C29"/>
          <cell r="D29" t="str">
            <v>ESTRUTURA</v>
          </cell>
          <cell r="E29"/>
          <cell r="F29"/>
          <cell r="G29"/>
          <cell r="H29"/>
          <cell r="I29">
            <v>52266.2</v>
          </cell>
          <cell r="J29">
            <v>4.0500000000000001E-2</v>
          </cell>
        </row>
        <row r="30">
          <cell r="A30" t="str">
            <v>4.1</v>
          </cell>
          <cell r="B30">
            <v>96617</v>
          </cell>
          <cell r="C30" t="str">
            <v>SINAPI</v>
          </cell>
          <cell r="D30" t="str">
            <v>LASTRO DE CONCRETO MAGRO, APLICADO EM BLOCOS DE COROAMENTO OU SAPATAS, ESPESSURA DE 3 CM. AF_08/2017</v>
          </cell>
          <cell r="E30" t="str">
            <v>m²</v>
          </cell>
          <cell r="F30">
            <v>30.05</v>
          </cell>
          <cell r="G30">
            <v>15.97</v>
          </cell>
          <cell r="H30">
            <v>20.61</v>
          </cell>
          <cell r="I30">
            <v>619.33000000000004</v>
          </cell>
          <cell r="J30">
            <v>4.8000000000000001E-4</v>
          </cell>
        </row>
        <row r="31">
          <cell r="A31" t="str">
            <v>4.2</v>
          </cell>
          <cell r="B31">
            <v>96543</v>
          </cell>
          <cell r="C31" t="str">
            <v>SINAPI</v>
          </cell>
          <cell r="D31" t="str">
            <v>ARMAÇÃO DE BLOCO, VIGA BALDRAME E SAPATA UTILIZANDO AÇO CA-60 DE 5 MM - MONTAGEM. AF_06/2017</v>
          </cell>
          <cell r="E31" t="str">
            <v>KG</v>
          </cell>
          <cell r="F31">
            <v>275.98</v>
          </cell>
          <cell r="G31">
            <v>17.260000000000002</v>
          </cell>
          <cell r="H31">
            <v>22.27</v>
          </cell>
          <cell r="I31">
            <v>6146.07</v>
          </cell>
          <cell r="J31">
            <v>4.7699999999999999E-3</v>
          </cell>
        </row>
        <row r="32">
          <cell r="A32" t="str">
            <v>4.3</v>
          </cell>
          <cell r="B32">
            <v>96545</v>
          </cell>
          <cell r="C32" t="str">
            <v>SINAPI</v>
          </cell>
          <cell r="D32" t="str">
            <v>ARMAÇÃO DE BLOCO, VIGA BALDRAME OU SAPATA UTILIZANDO AÇO CA-50 DE 8 MM - MONTAGEM. AF_06/2017</v>
          </cell>
          <cell r="E32" t="str">
            <v>KG</v>
          </cell>
          <cell r="F32">
            <v>334.49</v>
          </cell>
          <cell r="G32">
            <v>15.68</v>
          </cell>
          <cell r="H32">
            <v>20.23</v>
          </cell>
          <cell r="I32">
            <v>6766.73</v>
          </cell>
          <cell r="J32">
            <v>5.2500000000000003E-3</v>
          </cell>
        </row>
        <row r="33">
          <cell r="A33" t="str">
            <v>4.4</v>
          </cell>
          <cell r="B33">
            <v>96546</v>
          </cell>
          <cell r="C33" t="str">
            <v>SINAPI</v>
          </cell>
          <cell r="D33" t="str">
            <v>ARMAÇÃO DE BLOCO, VIGA BALDRAME OU SAPATA UTILIZANDO AÇO CA-50 DE 10 MM - MONTAGEM. AF_06/2017</v>
          </cell>
          <cell r="E33" t="str">
            <v>KG</v>
          </cell>
          <cell r="F33">
            <v>1004.1</v>
          </cell>
          <cell r="G33">
            <v>14.09</v>
          </cell>
          <cell r="H33">
            <v>18.18</v>
          </cell>
          <cell r="I33">
            <v>18254.53</v>
          </cell>
          <cell r="J33">
            <v>1.4160000000000001E-2</v>
          </cell>
        </row>
        <row r="34">
          <cell r="A34" t="str">
            <v>4.5</v>
          </cell>
          <cell r="B34">
            <v>96547</v>
          </cell>
          <cell r="C34" t="str">
            <v>SINAPI</v>
          </cell>
          <cell r="D34" t="str">
            <v>ARMAÇÃO DE BLOCO, VIGA BALDRAME OU SAPATA UTILIZANDO AÇO CA-50 DE 12,5 MM - MONTAGEM. AF_06/2017</v>
          </cell>
          <cell r="E34" t="str">
            <v>KG</v>
          </cell>
          <cell r="F34">
            <v>82.24</v>
          </cell>
          <cell r="G34">
            <v>11.95</v>
          </cell>
          <cell r="H34">
            <v>15.42</v>
          </cell>
          <cell r="I34">
            <v>1268.1400000000001</v>
          </cell>
          <cell r="J34">
            <v>9.7999999999999997E-4</v>
          </cell>
        </row>
        <row r="35">
          <cell r="A35" t="str">
            <v>4.6</v>
          </cell>
          <cell r="B35">
            <v>102475</v>
          </cell>
          <cell r="C35" t="str">
            <v>SINAPI</v>
          </cell>
          <cell r="D35" t="str">
            <v>CONCRETO FCK = 20MPA, TRAÇO 1:2,6:2,9 (EM MASSA SECA DE CIMENTO/ AREIA MÉDIA/ SEIXO ROLADO) - PREPARO MECÂNICO COM BETONEIRA 400 L. AF_05/2021</v>
          </cell>
          <cell r="E35" t="str">
            <v>m³</v>
          </cell>
          <cell r="F35">
            <v>8.1999999999999993</v>
          </cell>
          <cell r="G35">
            <v>473.3</v>
          </cell>
          <cell r="H35">
            <v>610.88</v>
          </cell>
          <cell r="I35">
            <v>5009.21</v>
          </cell>
          <cell r="J35">
            <v>3.8899999999999998E-3</v>
          </cell>
        </row>
        <row r="36">
          <cell r="A36" t="str">
            <v>4.7</v>
          </cell>
          <cell r="B36">
            <v>102476</v>
          </cell>
          <cell r="C36" t="str">
            <v>SINAPI</v>
          </cell>
          <cell r="D36" t="str">
            <v>CONCRETO FCK = 25MPA, TRAÇO 1:2,2:2,5 (EM MASSA SECA DE CIMENTO/ AREIA MÉDIA/ SEIXO ROLADO) - PREPARO MECÂNICO COM BETONEIRA 400 L. AF_05/2021</v>
          </cell>
          <cell r="E36" t="str">
            <v>m³</v>
          </cell>
          <cell r="F36">
            <v>14.78</v>
          </cell>
          <cell r="G36">
            <v>504.31</v>
          </cell>
          <cell r="H36">
            <v>650.91</v>
          </cell>
          <cell r="I36">
            <v>9620.44</v>
          </cell>
          <cell r="J36">
            <v>7.4599999999999996E-3</v>
          </cell>
        </row>
        <row r="37">
          <cell r="A37" t="str">
            <v>4.8</v>
          </cell>
          <cell r="B37">
            <v>92873</v>
          </cell>
          <cell r="C37" t="str">
            <v>SINAPI</v>
          </cell>
          <cell r="D37" t="str">
            <v>LANÇAMENTO COM USO DE BALDES, ADENSAMENTO E ACABAMENTO DE CONCRETO EM ESTRUTURAS. AF_12/2015</v>
          </cell>
          <cell r="E37" t="str">
            <v>m³</v>
          </cell>
          <cell r="F37">
            <v>22.98</v>
          </cell>
          <cell r="G37">
            <v>154.47999999999999</v>
          </cell>
          <cell r="H37">
            <v>199.38</v>
          </cell>
          <cell r="I37">
            <v>4581.75</v>
          </cell>
          <cell r="J37">
            <v>3.5500000000000002E-3</v>
          </cell>
        </row>
        <row r="38">
          <cell r="A38">
            <v>5</v>
          </cell>
          <cell r="B38"/>
          <cell r="C38"/>
          <cell r="D38" t="str">
            <v>TÉRREO E COBERTURA</v>
          </cell>
          <cell r="E38"/>
          <cell r="F38"/>
          <cell r="G38"/>
          <cell r="H38"/>
          <cell r="I38">
            <v>143663.98000000001</v>
          </cell>
          <cell r="J38">
            <v>0.1115</v>
          </cell>
        </row>
        <row r="39">
          <cell r="A39" t="str">
            <v>5.1</v>
          </cell>
          <cell r="B39">
            <v>92423</v>
          </cell>
          <cell r="C39" t="str">
            <v>SINAPI</v>
          </cell>
          <cell r="D39" t="str">
            <v>MONTAGEM E DESMONTAGEM DE FÔRMA DE PILARES RETANGULARES E ESTRUTURAS SIMILARES, PÉ-DIREITO SIMPLES, EM CHAPA DE MADEIRA COMPENSADA RESINADA, 6 UTILIZAÇÕES. AF_09/2020</v>
          </cell>
          <cell r="E39" t="str">
            <v>m²</v>
          </cell>
          <cell r="F39">
            <v>204.69</v>
          </cell>
          <cell r="G39">
            <v>52.12</v>
          </cell>
          <cell r="H39">
            <v>67.27</v>
          </cell>
          <cell r="I39">
            <v>13769.49</v>
          </cell>
          <cell r="J39">
            <v>1.068E-2</v>
          </cell>
        </row>
        <row r="40">
          <cell r="A40" t="str">
            <v>5.2</v>
          </cell>
          <cell r="B40">
            <v>92459</v>
          </cell>
          <cell r="C40" t="str">
            <v>SINAPI</v>
          </cell>
          <cell r="D40" t="str">
            <v>MONTAGEM E DESMONTAGEM DE FÔRMA DE VIGA, ESCORAMENTO COM GARFO DE MADEIRA, PÉ-DIREITO SIMPLES, EM CHAPA DE MADEIRA RESINADA, 6 UTILIZAÇÕES. AF_09/2020</v>
          </cell>
          <cell r="E40" t="str">
            <v>m²</v>
          </cell>
          <cell r="F40">
            <v>325.97000000000003</v>
          </cell>
          <cell r="G40">
            <v>109.68</v>
          </cell>
          <cell r="H40">
            <v>141.56</v>
          </cell>
          <cell r="I40">
            <v>46144.31</v>
          </cell>
          <cell r="J40">
            <v>3.5790000000000002E-2</v>
          </cell>
        </row>
        <row r="41">
          <cell r="A41" t="str">
            <v>5.3</v>
          </cell>
          <cell r="B41">
            <v>92518</v>
          </cell>
          <cell r="C41" t="str">
            <v>SINAPI</v>
          </cell>
          <cell r="D41" t="str">
            <v>MONTAGEM E DESMONTAGEM DE FÔRMA DE LAJE MACIÇA, PÉ-DIREITO SIMPLES, EM CHAPA DE MADEIRA COMPENSADA RESINADA, 6 UTILIZAÇÕES. AF_09/2020</v>
          </cell>
          <cell r="E41" t="str">
            <v>m²</v>
          </cell>
          <cell r="F41">
            <v>41.29</v>
          </cell>
          <cell r="G41">
            <v>27</v>
          </cell>
          <cell r="H41">
            <v>34.840000000000003</v>
          </cell>
          <cell r="I41">
            <v>1438.54</v>
          </cell>
          <cell r="J41">
            <v>1.1199999999999999E-3</v>
          </cell>
        </row>
        <row r="42">
          <cell r="A42" t="str">
            <v>5.4</v>
          </cell>
          <cell r="B42">
            <v>92775</v>
          </cell>
          <cell r="C42" t="str">
            <v>SINAPI</v>
          </cell>
          <cell r="D42" t="str">
            <v>ARMAÇÃO DE PILAR OU VIGA DE UMA ESTRUTURA CONVENCIONAL DE CONCRETO ARMADO EM UMA EDIFICAÇÃO TÉRREA OU SOBRADO UTILIZANDO AÇO CA-60 DE 5,0 MM - MONTAGEM. AF_12/2015</v>
          </cell>
          <cell r="E42" t="str">
            <v>KG</v>
          </cell>
          <cell r="F42">
            <v>613.03</v>
          </cell>
          <cell r="G42">
            <v>17.260000000000002</v>
          </cell>
          <cell r="H42">
            <v>22.27</v>
          </cell>
          <cell r="I42">
            <v>13652.17</v>
          </cell>
          <cell r="J42">
            <v>1.059E-2</v>
          </cell>
        </row>
        <row r="43">
          <cell r="A43" t="str">
            <v>5.5</v>
          </cell>
          <cell r="B43">
            <v>92777</v>
          </cell>
          <cell r="C43" t="str">
            <v>SINAPI</v>
          </cell>
          <cell r="D43" t="str">
            <v>ARMAÇÃO DE PILAR OU VIGA DE UMA ESTRUTURA CONVENCIONAL DE CONCRETO ARMADO EM UMA EDIFICAÇÃO TÉRREA OU SOBRADO UTILIZANDO AÇO CA-50 DE 8,0 MM - MONTAGEM. AF_12/2015</v>
          </cell>
          <cell r="E43" t="str">
            <v>KG</v>
          </cell>
          <cell r="F43">
            <v>261.61</v>
          </cell>
          <cell r="G43">
            <v>15.66</v>
          </cell>
          <cell r="H43">
            <v>20.21</v>
          </cell>
          <cell r="I43">
            <v>5287.13</v>
          </cell>
          <cell r="J43">
            <v>4.1000000000000003E-3</v>
          </cell>
        </row>
        <row r="44">
          <cell r="A44" t="str">
            <v>5.6</v>
          </cell>
          <cell r="B44">
            <v>92778</v>
          </cell>
          <cell r="C44" t="str">
            <v>SINAPI</v>
          </cell>
          <cell r="D44" t="str">
            <v>ARMAÇÃO DE PILAR OU VIGA DE UMA ESTRUTURA CONVENCIONAL DE CONCRETO ARMADO EM UMA EDIFICAÇÃO TÉRREA OU SOBRADO UTILIZANDO AÇO CA-50 DE 10,0 MM - MONTAGEM. AF_12/2015</v>
          </cell>
          <cell r="E44" t="str">
            <v>KG</v>
          </cell>
          <cell r="F44">
            <v>1371.73</v>
          </cell>
          <cell r="G44">
            <v>14.04</v>
          </cell>
          <cell r="H44">
            <v>18.12</v>
          </cell>
          <cell r="I44">
            <v>24855.74</v>
          </cell>
          <cell r="J44">
            <v>1.9279999999999999E-2</v>
          </cell>
        </row>
        <row r="45">
          <cell r="A45" t="str">
            <v>5.7</v>
          </cell>
          <cell r="B45">
            <v>92779</v>
          </cell>
          <cell r="C45" t="str">
            <v>SINAPI</v>
          </cell>
          <cell r="D45" t="str">
            <v>ARMAÇÃO DE PILAR OU VIGA DE UMA ESTRUTURA CONVENCIONAL DE CONCRETO ARMADO EM UMA EDIFICAÇÃO TÉRREA OU SOBRADO UTILIZANDO AÇO CA-50 DE 12,5 MM - MONTAGEM. AF_12/2015</v>
          </cell>
          <cell r="E45" t="str">
            <v>KG</v>
          </cell>
          <cell r="F45">
            <v>359.1</v>
          </cell>
          <cell r="G45">
            <v>11.84</v>
          </cell>
          <cell r="H45">
            <v>15.28</v>
          </cell>
          <cell r="I45">
            <v>5487.04</v>
          </cell>
          <cell r="J45">
            <v>4.2599999999999999E-3</v>
          </cell>
        </row>
        <row r="46">
          <cell r="A46" t="str">
            <v>5.8</v>
          </cell>
          <cell r="B46">
            <v>92784</v>
          </cell>
          <cell r="C46" t="str">
            <v>SINAPI</v>
          </cell>
          <cell r="D46" t="str">
            <v>ARMAÇÃO DE LAJE DE UMA ESTRUTURA CONVENCIONAL DE CONCRETO ARMADO EM UMA EDIFICAÇÃO TÉRREA OU SOBRADO UTILIZANDO AÇO CA-60 DE 5,0 MM - MONTAGEM. AF_12/2015</v>
          </cell>
          <cell r="E46" t="str">
            <v>KG</v>
          </cell>
          <cell r="F46">
            <v>81.760000000000005</v>
          </cell>
          <cell r="G46">
            <v>15.6</v>
          </cell>
          <cell r="H46">
            <v>20.13</v>
          </cell>
          <cell r="I46">
            <v>1645.82</v>
          </cell>
          <cell r="J46">
            <v>1.2800000000000001E-3</v>
          </cell>
        </row>
        <row r="47">
          <cell r="A47" t="str">
            <v>5.9</v>
          </cell>
          <cell r="B47">
            <v>92785</v>
          </cell>
          <cell r="C47" t="str">
            <v>SINAPI</v>
          </cell>
          <cell r="D47" t="str">
            <v>ARMAÇÃO DE LAJE DE UMA ESTRUTURA CONVENCIONAL DE CONCRETO ARMADO EM UMA EDIFICAÇÃO TÉRREA OU SOBRADO UTILIZANDO AÇO CA-50 DE 6,3 MM - MONTAGEM. AF_12/2015</v>
          </cell>
          <cell r="E47" t="str">
            <v>KG</v>
          </cell>
          <cell r="F47">
            <v>129.36000000000001</v>
          </cell>
          <cell r="G47">
            <v>15.23</v>
          </cell>
          <cell r="H47">
            <v>19.649999999999999</v>
          </cell>
          <cell r="I47">
            <v>2541.92</v>
          </cell>
          <cell r="J47">
            <v>1.97E-3</v>
          </cell>
        </row>
        <row r="48">
          <cell r="A48" t="str">
            <v>5.10</v>
          </cell>
          <cell r="B48">
            <v>102476</v>
          </cell>
          <cell r="C48" t="str">
            <v>SINAPI</v>
          </cell>
          <cell r="D48" t="str">
            <v>CONCRETO FCK = 25MPA, TRAÇO 1:2,2:2,5 (EM MASSA SECA DE CIMENTO/ AREIA MÉDIA/ SEIXO ROLADO) - PREPARO MECÂNICO COM BETONEIRA 400 L. AF_05/2021</v>
          </cell>
          <cell r="E48" t="str">
            <v>m³</v>
          </cell>
          <cell r="F48">
            <v>33.92</v>
          </cell>
          <cell r="G48">
            <v>504.31</v>
          </cell>
          <cell r="H48">
            <v>650.91</v>
          </cell>
          <cell r="I48">
            <v>22078.86</v>
          </cell>
          <cell r="J48">
            <v>1.7129999999999999E-2</v>
          </cell>
        </row>
        <row r="49">
          <cell r="A49" t="str">
            <v>5.11</v>
          </cell>
          <cell r="B49">
            <v>92873</v>
          </cell>
          <cell r="C49" t="str">
            <v>SINAPI</v>
          </cell>
          <cell r="D49" t="str">
            <v>LANÇAMENTO COM USO DE BALDES, ADENSAMENTO E ACABAMENTO DE CONCRETO EM ESTRUTURAS. AF_12/2015</v>
          </cell>
          <cell r="E49" t="str">
            <v>m³</v>
          </cell>
          <cell r="F49">
            <v>33.92</v>
          </cell>
          <cell r="G49">
            <v>154.47999999999999</v>
          </cell>
          <cell r="H49">
            <v>199.38</v>
          </cell>
          <cell r="I49">
            <v>6762.96</v>
          </cell>
          <cell r="J49">
            <v>5.2500000000000003E-3</v>
          </cell>
        </row>
        <row r="50">
          <cell r="A50">
            <v>6</v>
          </cell>
          <cell r="B50"/>
          <cell r="C50"/>
          <cell r="D50" t="str">
            <v>ALVENARIA</v>
          </cell>
          <cell r="E50"/>
          <cell r="F50"/>
          <cell r="G50"/>
          <cell r="H50"/>
          <cell r="I50">
            <v>180588.27</v>
          </cell>
          <cell r="J50">
            <v>0.1401</v>
          </cell>
        </row>
        <row r="51">
          <cell r="A51" t="str">
            <v>6.1</v>
          </cell>
          <cell r="B51"/>
          <cell r="C51"/>
          <cell r="D51" t="str">
            <v>PAREDES</v>
          </cell>
          <cell r="E51"/>
          <cell r="F51"/>
          <cell r="G51"/>
          <cell r="H51"/>
          <cell r="I51">
            <v>132315.79</v>
          </cell>
          <cell r="J51">
            <v>0.1026</v>
          </cell>
        </row>
        <row r="52">
          <cell r="A52" t="str">
            <v>6.1.1</v>
          </cell>
          <cell r="B52">
            <v>60046</v>
          </cell>
          <cell r="C52" t="str">
            <v>SEDOP</v>
          </cell>
          <cell r="D52" t="str">
            <v>Alvenaria tijolo de barro a cutelo</v>
          </cell>
          <cell r="E52" t="str">
            <v>m²</v>
          </cell>
          <cell r="F52">
            <v>1560.88</v>
          </cell>
          <cell r="G52">
            <v>65.680000000000007</v>
          </cell>
          <cell r="H52">
            <v>84.77</v>
          </cell>
          <cell r="I52">
            <v>132315.79</v>
          </cell>
          <cell r="J52">
            <v>0.10263</v>
          </cell>
        </row>
        <row r="53">
          <cell r="A53" t="str">
            <v>6.2</v>
          </cell>
          <cell r="B53"/>
          <cell r="C53"/>
          <cell r="D53" t="str">
            <v>MURO</v>
          </cell>
          <cell r="E53"/>
          <cell r="F53"/>
          <cell r="G53"/>
          <cell r="H53"/>
          <cell r="I53">
            <v>48272.480000000003</v>
          </cell>
          <cell r="J53">
            <v>3.7400000000000003E-2</v>
          </cell>
        </row>
        <row r="54">
          <cell r="A54" t="str">
            <v>6.2.1</v>
          </cell>
          <cell r="B54">
            <v>260652</v>
          </cell>
          <cell r="C54" t="str">
            <v>SEDOP</v>
          </cell>
          <cell r="D54" t="str">
            <v>Muro em alvenaria,rebocado e pintado 2 faces(h=2.50m)</v>
          </cell>
          <cell r="E54" t="str">
            <v>M</v>
          </cell>
          <cell r="F54">
            <v>30</v>
          </cell>
          <cell r="G54">
            <v>653.45000000000005</v>
          </cell>
          <cell r="H54">
            <v>843.4</v>
          </cell>
          <cell r="I54">
            <v>25302</v>
          </cell>
          <cell r="J54">
            <v>1.9630000000000002E-2</v>
          </cell>
        </row>
        <row r="55">
          <cell r="A55" t="str">
            <v>6.2.2</v>
          </cell>
          <cell r="B55">
            <v>50729</v>
          </cell>
          <cell r="C55" t="str">
            <v>SEDOP</v>
          </cell>
          <cell r="D55" t="str">
            <v>Concreto armado fck=20MPA c/ forma mad. branca (incl. lançamento e adensamento)</v>
          </cell>
          <cell r="E55" t="str">
            <v>m³</v>
          </cell>
          <cell r="F55">
            <v>0.28999999999999998</v>
          </cell>
          <cell r="G55">
            <v>3042.7</v>
          </cell>
          <cell r="H55">
            <v>3927.21</v>
          </cell>
          <cell r="I55">
            <v>1138.8900000000001</v>
          </cell>
          <cell r="J55">
            <v>8.8000000000000003E-4</v>
          </cell>
        </row>
        <row r="56">
          <cell r="A56" t="str">
            <v>6.2.3</v>
          </cell>
          <cell r="B56">
            <v>60046</v>
          </cell>
          <cell r="C56" t="str">
            <v>SEDOP</v>
          </cell>
          <cell r="D56" t="str">
            <v>Alvenaria tijolo de barro a cutelo</v>
          </cell>
          <cell r="E56" t="str">
            <v>m²</v>
          </cell>
          <cell r="F56">
            <v>43.05</v>
          </cell>
          <cell r="G56">
            <v>65.680000000000007</v>
          </cell>
          <cell r="H56">
            <v>84.77</v>
          </cell>
          <cell r="I56">
            <v>3649.34</v>
          </cell>
          <cell r="J56">
            <v>2.8300000000000001E-3</v>
          </cell>
        </row>
        <row r="57">
          <cell r="A57" t="str">
            <v>6.2.4</v>
          </cell>
          <cell r="B57">
            <v>87905</v>
          </cell>
          <cell r="C57" t="str">
            <v>SINAPI</v>
          </cell>
          <cell r="D57" t="str">
            <v>CHAPISCO APLICADO EM ALVENARIA (COM PRESENÇA DE VÃOS) E ESTRUTURAS DE CONCRETO DE FACHADA, COM COLHER DE PEDREIRO.  ARGAMASSA TRAÇO 1:3 COM PREPARO EM BETONEIRA 400L. AF_06/2014</v>
          </cell>
          <cell r="E57" t="str">
            <v>m²</v>
          </cell>
          <cell r="F57">
            <v>225</v>
          </cell>
          <cell r="G57">
            <v>6.88</v>
          </cell>
          <cell r="H57">
            <v>8.8800000000000008</v>
          </cell>
          <cell r="I57">
            <v>1998</v>
          </cell>
          <cell r="J57">
            <v>1.5499999999999999E-3</v>
          </cell>
        </row>
        <row r="58">
          <cell r="A58" t="str">
            <v>6.2.5</v>
          </cell>
          <cell r="B58">
            <v>110763</v>
          </cell>
          <cell r="C58" t="str">
            <v>SEDOP</v>
          </cell>
          <cell r="D58" t="str">
            <v>Reboco com argamassa 1:6:Adit. Plast.</v>
          </cell>
          <cell r="E58" t="str">
            <v>m²</v>
          </cell>
          <cell r="F58">
            <v>225</v>
          </cell>
          <cell r="G58">
            <v>41.43</v>
          </cell>
          <cell r="H58">
            <v>53.47</v>
          </cell>
          <cell r="I58">
            <v>12030.75</v>
          </cell>
          <cell r="J58">
            <v>9.3299999999999998E-3</v>
          </cell>
        </row>
        <row r="59">
          <cell r="A59" t="str">
            <v>6.2.6</v>
          </cell>
          <cell r="B59">
            <v>150125</v>
          </cell>
          <cell r="C59" t="str">
            <v>SEDOP</v>
          </cell>
          <cell r="D59" t="str">
            <v>PVA externa sem superf. preparada</v>
          </cell>
          <cell r="E59" t="str">
            <v>m²</v>
          </cell>
          <cell r="F59">
            <v>225</v>
          </cell>
          <cell r="G59">
            <v>14.31</v>
          </cell>
          <cell r="H59">
            <v>18.46</v>
          </cell>
          <cell r="I59">
            <v>4153.5</v>
          </cell>
          <cell r="J59">
            <v>3.2200000000000002E-3</v>
          </cell>
        </row>
        <row r="60">
          <cell r="A60">
            <v>7</v>
          </cell>
          <cell r="B60"/>
          <cell r="C60"/>
          <cell r="D60" t="str">
            <v>IMPERMEABILIZAÇÃO</v>
          </cell>
          <cell r="E60"/>
          <cell r="F60"/>
          <cell r="G60"/>
          <cell r="H60"/>
          <cell r="I60">
            <v>18926.599999999999</v>
          </cell>
          <cell r="J60">
            <v>1.47E-2</v>
          </cell>
        </row>
        <row r="61">
          <cell r="A61" t="str">
            <v>7.1</v>
          </cell>
          <cell r="B61">
            <v>98557</v>
          </cell>
          <cell r="C61" t="str">
            <v>SINAPI</v>
          </cell>
          <cell r="D61" t="str">
            <v>IMPERMEABILIZAÇÃO DE SUPERFÍCIE COM EMULSÃO ASFÁLTICA, 2 DEMÃOS AF_06/2018</v>
          </cell>
          <cell r="E61" t="str">
            <v>m²</v>
          </cell>
          <cell r="F61">
            <v>221.8</v>
          </cell>
          <cell r="G61">
            <v>32.64</v>
          </cell>
          <cell r="H61">
            <v>42.12</v>
          </cell>
          <cell r="I61">
            <v>9342.2099999999991</v>
          </cell>
          <cell r="J61">
            <v>7.2500000000000004E-3</v>
          </cell>
        </row>
        <row r="62">
          <cell r="A62" t="str">
            <v>7.2</v>
          </cell>
          <cell r="B62">
            <v>98546</v>
          </cell>
          <cell r="C62" t="str">
            <v>SINAPI</v>
          </cell>
          <cell r="D62" t="str">
            <v>IMPERMEABILIZAÇÃO DE SUPERFÍCIE COM MANTA ASFÁLTICA, UMA CAMADA, INCLUSIVE APLICAÇÃO DE PRIMER ASFÁLTICO, E=3MM. AF_06/2018</v>
          </cell>
          <cell r="E62" t="str">
            <v>m²</v>
          </cell>
          <cell r="F62">
            <v>48.9</v>
          </cell>
          <cell r="G62">
            <v>85.29</v>
          </cell>
          <cell r="H62">
            <v>110.08</v>
          </cell>
          <cell r="I62">
            <v>5382.91</v>
          </cell>
          <cell r="J62">
            <v>4.1799999999999997E-3</v>
          </cell>
        </row>
        <row r="63">
          <cell r="A63" t="str">
            <v>7.3</v>
          </cell>
          <cell r="B63">
            <v>87624</v>
          </cell>
          <cell r="C63" t="str">
            <v>SINAPI</v>
          </cell>
          <cell r="D63" t="str">
            <v>CONTRAPISO EM ARGAMASSA PRONTA, PREPARO MECÂNICO COM MISTURADOR 300 KG, APLICADO EM ÁREAS SECAS SOBRE LAJE, ADERIDO, ACABAMENTO NÃO REFORÇADO, ESPESSURA 2CM. AF_07/2021</v>
          </cell>
          <cell r="E63" t="str">
            <v>m²</v>
          </cell>
          <cell r="F63">
            <v>48.9</v>
          </cell>
          <cell r="G63">
            <v>66.569999999999993</v>
          </cell>
          <cell r="H63">
            <v>85.92</v>
          </cell>
          <cell r="I63">
            <v>4201.4799999999996</v>
          </cell>
          <cell r="J63">
            <v>3.2599999999999999E-3</v>
          </cell>
        </row>
        <row r="64">
          <cell r="A64">
            <v>8</v>
          </cell>
          <cell r="B64"/>
          <cell r="C64"/>
          <cell r="D64" t="str">
            <v>EXECUÇÃO DE PISO</v>
          </cell>
          <cell r="E64"/>
          <cell r="F64"/>
          <cell r="G64"/>
          <cell r="H64"/>
          <cell r="I64">
            <v>112110.69</v>
          </cell>
          <cell r="J64">
            <v>8.6999999999999994E-2</v>
          </cell>
        </row>
        <row r="65">
          <cell r="A65" t="str">
            <v>8.1</v>
          </cell>
          <cell r="B65"/>
          <cell r="C65"/>
          <cell r="D65" t="str">
            <v>ÁREA EXTERNA</v>
          </cell>
          <cell r="E65"/>
          <cell r="F65"/>
          <cell r="G65"/>
          <cell r="H65"/>
          <cell r="I65">
            <v>40289.53</v>
          </cell>
          <cell r="J65">
            <v>3.1300000000000001E-2</v>
          </cell>
        </row>
        <row r="66">
          <cell r="A66" t="str">
            <v>8.1.1</v>
          </cell>
          <cell r="B66">
            <v>101747</v>
          </cell>
          <cell r="C66" t="str">
            <v>SINAPI</v>
          </cell>
          <cell r="D66" t="str">
            <v>PISO EM CONCRETO 20 MPA PREPARO MECÂNICO, ESPESSURA 7CM. AF_09/2020</v>
          </cell>
          <cell r="E66" t="str">
            <v>m²</v>
          </cell>
          <cell r="F66">
            <v>131.46</v>
          </cell>
          <cell r="G66">
            <v>78.5</v>
          </cell>
          <cell r="H66">
            <v>101.31</v>
          </cell>
          <cell r="I66">
            <v>13318.21</v>
          </cell>
          <cell r="J66">
            <v>1.0330000000000001E-2</v>
          </cell>
        </row>
        <row r="67">
          <cell r="A67" t="str">
            <v>8.1.2</v>
          </cell>
          <cell r="B67">
            <v>92400</v>
          </cell>
          <cell r="C67" t="str">
            <v>SINAPI</v>
          </cell>
          <cell r="D67" t="str">
            <v>EXECUÇÃO DE PÁTIO/ESTACIONAMENTO EM PISO INTERTRAVADO, COM BLOCO RETANGULAR DE 20 X 10 CM, ESPESSURA 10 CM. AF_12/2015</v>
          </cell>
          <cell r="E67" t="str">
            <v>m²</v>
          </cell>
          <cell r="F67">
            <v>59.1</v>
          </cell>
          <cell r="G67">
            <v>71.290000000000006</v>
          </cell>
          <cell r="H67">
            <v>92.01</v>
          </cell>
          <cell r="I67">
            <v>5437.79</v>
          </cell>
          <cell r="J67">
            <v>4.2199999999999998E-3</v>
          </cell>
        </row>
        <row r="68">
          <cell r="A68" t="str">
            <v>8.1.3</v>
          </cell>
          <cell r="B68">
            <v>94268</v>
          </cell>
          <cell r="C68" t="str">
            <v>SINAPI</v>
          </cell>
          <cell r="D68" t="str">
            <v>GUIA (MEIO-FIO) E SARJETA CONJUGADOS DE CONCRETO, MOLDADA  IN LOCO  EM TRECHO CURVO COM EXTRUSORA, 45 CM BASE (15 CM BASE DA GUIA + 30 CM BASE DA SARJETA) X 22 CM ALTURA. AF_06/2016</v>
          </cell>
          <cell r="E68" t="str">
            <v>M</v>
          </cell>
          <cell r="F68">
            <v>64</v>
          </cell>
          <cell r="G68">
            <v>49.05</v>
          </cell>
          <cell r="H68">
            <v>63.3</v>
          </cell>
          <cell r="I68">
            <v>4051.2</v>
          </cell>
          <cell r="J68">
            <v>3.14E-3</v>
          </cell>
        </row>
        <row r="69">
          <cell r="A69" t="str">
            <v>8.1.4</v>
          </cell>
          <cell r="B69">
            <v>94990</v>
          </cell>
          <cell r="C69" t="str">
            <v>SINAPI</v>
          </cell>
          <cell r="D69" t="str">
            <v>EXECUÇÃO DE PASSEIO (CALÇADA) OU PISO DE CONCRETO COM CONCRETO MOLDADO IN LOCO, FEITO EM OBRA, ACABAMENTO CONVENCIONAL, NÃO ARMADO. AF_07/2016</v>
          </cell>
          <cell r="E69" t="str">
            <v>m³</v>
          </cell>
          <cell r="F69">
            <v>12.4</v>
          </cell>
          <cell r="G69">
            <v>708.24</v>
          </cell>
          <cell r="H69">
            <v>914.12</v>
          </cell>
          <cell r="I69">
            <v>11335.08</v>
          </cell>
          <cell r="J69">
            <v>8.7899999999999992E-3</v>
          </cell>
        </row>
        <row r="70">
          <cell r="A70" t="str">
            <v>8.1.5</v>
          </cell>
          <cell r="B70">
            <v>130728</v>
          </cell>
          <cell r="C70" t="str">
            <v>SEDOP</v>
          </cell>
          <cell r="D70" t="str">
            <v>PisoTátil direcional na cor amarelo 25x25 premoldado (16 unidades)</v>
          </cell>
          <cell r="E70" t="str">
            <v>m²</v>
          </cell>
          <cell r="F70">
            <v>21.07</v>
          </cell>
          <cell r="G70">
            <v>111.07</v>
          </cell>
          <cell r="H70">
            <v>143.35</v>
          </cell>
          <cell r="I70">
            <v>3020.38</v>
          </cell>
          <cell r="J70">
            <v>2.3400000000000001E-3</v>
          </cell>
        </row>
        <row r="71">
          <cell r="A71" t="str">
            <v>8.1.6</v>
          </cell>
          <cell r="B71" t="str">
            <v>CP027</v>
          </cell>
          <cell r="C71" t="str">
            <v>Próprio</v>
          </cell>
          <cell r="D71" t="str">
            <v>PLANTIO DE GRAMA EM PLACAS</v>
          </cell>
          <cell r="E71" t="str">
            <v>m²</v>
          </cell>
          <cell r="F71">
            <v>187.8</v>
          </cell>
          <cell r="G71">
            <v>12.9</v>
          </cell>
          <cell r="H71">
            <v>16.649999999999999</v>
          </cell>
          <cell r="I71">
            <v>3126.87</v>
          </cell>
          <cell r="J71">
            <v>2.4299999999999999E-3</v>
          </cell>
        </row>
        <row r="72">
          <cell r="A72" t="str">
            <v>8.2</v>
          </cell>
          <cell r="B72"/>
          <cell r="C72"/>
          <cell r="D72" t="str">
            <v>ÁREA INTERNA</v>
          </cell>
          <cell r="E72"/>
          <cell r="F72"/>
          <cell r="G72"/>
          <cell r="H72"/>
          <cell r="I72">
            <v>71821.16</v>
          </cell>
          <cell r="J72">
            <v>5.57E-2</v>
          </cell>
        </row>
        <row r="73">
          <cell r="A73" t="str">
            <v>8.2.1</v>
          </cell>
          <cell r="B73">
            <v>130507</v>
          </cell>
          <cell r="C73" t="str">
            <v>SEDOP</v>
          </cell>
          <cell r="D73" t="str">
            <v>Camada impermeabilizadora e=10cm c/ seixo</v>
          </cell>
          <cell r="E73" t="str">
            <v>m²</v>
          </cell>
          <cell r="F73">
            <v>350.96</v>
          </cell>
          <cell r="G73">
            <v>57.84</v>
          </cell>
          <cell r="H73">
            <v>74.650000000000006</v>
          </cell>
          <cell r="I73">
            <v>26199.16</v>
          </cell>
          <cell r="J73">
            <v>2.0320000000000001E-2</v>
          </cell>
        </row>
        <row r="74">
          <cell r="A74" t="str">
            <v>8.2.2</v>
          </cell>
          <cell r="B74">
            <v>130110</v>
          </cell>
          <cell r="C74" t="str">
            <v>SEDOP</v>
          </cell>
          <cell r="D74" t="str">
            <v>Camada regularizadora no traço 1:4</v>
          </cell>
          <cell r="E74" t="str">
            <v>m²</v>
          </cell>
          <cell r="F74">
            <v>350.96</v>
          </cell>
          <cell r="G74">
            <v>33.4</v>
          </cell>
          <cell r="H74">
            <v>43.1</v>
          </cell>
          <cell r="I74">
            <v>15126.37</v>
          </cell>
          <cell r="J74">
            <v>1.1730000000000001E-2</v>
          </cell>
        </row>
        <row r="75">
          <cell r="A75" t="str">
            <v>8.2.3</v>
          </cell>
          <cell r="B75">
            <v>87250</v>
          </cell>
          <cell r="C75" t="str">
            <v>SINAPI</v>
          </cell>
          <cell r="D75" t="str">
            <v>REVESTIMENTO CERÂMICO PARA PISO COM PLACAS TIPO ESMALTADA EXTRA DE DIMENSÕES 45X45 CM APLICADA EM AMBIENTES DE ÁREA ENTRE 5 M2 E 10 M2. AF_06/2014</v>
          </cell>
          <cell r="E75" t="str">
            <v>m²</v>
          </cell>
          <cell r="F75">
            <v>350.96</v>
          </cell>
          <cell r="G75">
            <v>59.42</v>
          </cell>
          <cell r="H75">
            <v>76.69</v>
          </cell>
          <cell r="I75">
            <v>26915.119999999999</v>
          </cell>
          <cell r="J75">
            <v>2.0879999999999999E-2</v>
          </cell>
        </row>
        <row r="76">
          <cell r="A76" t="str">
            <v>8.2.4</v>
          </cell>
          <cell r="B76">
            <v>88648</v>
          </cell>
          <cell r="C76" t="str">
            <v>SINAPI</v>
          </cell>
          <cell r="D76" t="str">
            <v>RODAPÉ CERÂMICO DE 7CM DE ALTURA COM PLACAS TIPO ESMALTADA EXTRA  DE DIMENSÕES 35X35CM. AF_06/2014</v>
          </cell>
          <cell r="E76" t="str">
            <v>M</v>
          </cell>
          <cell r="F76">
            <v>376.5</v>
          </cell>
          <cell r="G76">
            <v>7.37</v>
          </cell>
          <cell r="H76">
            <v>9.51</v>
          </cell>
          <cell r="I76">
            <v>3580.51</v>
          </cell>
          <cell r="J76">
            <v>2.7799999999999999E-3</v>
          </cell>
        </row>
        <row r="77">
          <cell r="A77">
            <v>9</v>
          </cell>
          <cell r="B77"/>
          <cell r="C77"/>
          <cell r="D77" t="str">
            <v>PAREDE</v>
          </cell>
          <cell r="E77"/>
          <cell r="F77"/>
          <cell r="G77"/>
          <cell r="H77"/>
          <cell r="I77">
            <v>174747.73</v>
          </cell>
          <cell r="J77">
            <v>0.13550000000000001</v>
          </cell>
        </row>
        <row r="78">
          <cell r="A78" t="str">
            <v>9.1</v>
          </cell>
          <cell r="B78">
            <v>87905</v>
          </cell>
          <cell r="C78" t="str">
            <v>SINAPI</v>
          </cell>
          <cell r="D78" t="str">
            <v>CHAPISCO APLICADO EM ALVENARIA (COM PRESENÇA DE VÃOS) E ESTRUTURAS DE CONCRETO DE FACHADA, COM COLHER DE PEDREIRO.  ARGAMASSA TRAÇO 1:3 COM PREPARO EM BETONEIRA 400L. AF_06/2014</v>
          </cell>
          <cell r="E78" t="str">
            <v>m²</v>
          </cell>
          <cell r="F78">
            <v>489.49</v>
          </cell>
          <cell r="G78">
            <v>6.88</v>
          </cell>
          <cell r="H78">
            <v>8.8800000000000008</v>
          </cell>
          <cell r="I78">
            <v>4346.67</v>
          </cell>
          <cell r="J78">
            <v>3.3700000000000002E-3</v>
          </cell>
        </row>
        <row r="79">
          <cell r="A79" t="str">
            <v>9.2</v>
          </cell>
          <cell r="B79">
            <v>87878</v>
          </cell>
          <cell r="C79" t="str">
            <v>SINAPI</v>
          </cell>
          <cell r="D79" t="str">
            <v>CHAPISCO APLICADO EM ALVENARIAS E ESTRUTURAS DE CONCRETO INTERNAS, COM COLHER DE PEDREIRO.  ARGAMASSA TRAÇO 1:3 COM PREPARO MANUAL. AF_06/2014</v>
          </cell>
          <cell r="E79" t="str">
            <v>m²</v>
          </cell>
          <cell r="F79">
            <v>1257.02</v>
          </cell>
          <cell r="G79">
            <v>3.87</v>
          </cell>
          <cell r="H79">
            <v>4.99</v>
          </cell>
          <cell r="I79">
            <v>6272.52</v>
          </cell>
          <cell r="J79">
            <v>4.8700000000000002E-3</v>
          </cell>
        </row>
        <row r="80">
          <cell r="A80" t="str">
            <v>9.3</v>
          </cell>
          <cell r="B80">
            <v>87792</v>
          </cell>
          <cell r="C80" t="str">
            <v>SINAPI</v>
          </cell>
          <cell r="D80" t="str">
            <v>EMBOÇO OU MASSA ÚNICA EM ARGAMASSA TRAÇO 1:2:8, PREPARO MECÂNICO COM BETONEIRA 400 L, APLICADA MANUALMENTE EM PANOS CEGOS DE FACHADA (SEM PRESENÇA DE VÃOS), ESPESSURA DE 25 MM. AF_06/2014</v>
          </cell>
          <cell r="E80" t="str">
            <v>m²</v>
          </cell>
          <cell r="F80">
            <v>99.65</v>
          </cell>
          <cell r="G80">
            <v>36.72</v>
          </cell>
          <cell r="H80">
            <v>47.39</v>
          </cell>
          <cell r="I80">
            <v>4722.41</v>
          </cell>
          <cell r="J80">
            <v>3.6600000000000001E-3</v>
          </cell>
        </row>
        <row r="81">
          <cell r="A81" t="str">
            <v>9.4</v>
          </cell>
          <cell r="B81">
            <v>110763</v>
          </cell>
          <cell r="C81" t="str">
            <v>SEDOP</v>
          </cell>
          <cell r="D81" t="str">
            <v>Reboco com argamassa 1:6:Adit. Plast.</v>
          </cell>
          <cell r="E81" t="str">
            <v>m²</v>
          </cell>
          <cell r="F81">
            <v>1646.86</v>
          </cell>
          <cell r="G81">
            <v>41.43</v>
          </cell>
          <cell r="H81">
            <v>53.47</v>
          </cell>
          <cell r="I81">
            <v>88057.600000000006</v>
          </cell>
          <cell r="J81">
            <v>6.83E-2</v>
          </cell>
        </row>
        <row r="82">
          <cell r="A82" t="str">
            <v>9.5</v>
          </cell>
          <cell r="B82">
            <v>87275</v>
          </cell>
          <cell r="C82" t="str">
            <v>SINAPI</v>
          </cell>
          <cell r="D82" t="str">
            <v>REVESTIMENTO CERÂMICO PARA PAREDES INTERNAS COM PLACAS TIPO ESMALTADA EXTRA  DE DIMENSÕES 33X45 CM APLICADAS EM AMBIENTES DE ÁREA MAIOR QUE 5 M² A MEIA ALTURA DAS PAREDES. AF_06/2014</v>
          </cell>
          <cell r="E82" t="str">
            <v>m²</v>
          </cell>
          <cell r="F82">
            <v>99.65</v>
          </cell>
          <cell r="G82">
            <v>71.05</v>
          </cell>
          <cell r="H82">
            <v>91.7</v>
          </cell>
          <cell r="I82">
            <v>9137.9</v>
          </cell>
          <cell r="J82">
            <v>7.0899999999999999E-3</v>
          </cell>
        </row>
        <row r="83">
          <cell r="A83" t="str">
            <v>9.6</v>
          </cell>
          <cell r="B83">
            <v>96131</v>
          </cell>
          <cell r="C83" t="str">
            <v>SINAPI</v>
          </cell>
          <cell r="D83" t="str">
            <v>APLICAÇÃO MANUAL DE MASSA ACRÍLICA EM PANOS DE FACHADA COM PRESENÇA DE VÃOS, DE EDIFÍCIOS DE MÚLTIPLOS PAVIMENTOS, DUAS DEMÃOS. AF_05/2017</v>
          </cell>
          <cell r="E83" t="str">
            <v>m²</v>
          </cell>
          <cell r="F83">
            <v>1157.3699999999999</v>
          </cell>
          <cell r="G83">
            <v>17.55</v>
          </cell>
          <cell r="H83">
            <v>22.65</v>
          </cell>
          <cell r="I83">
            <v>26214.43</v>
          </cell>
          <cell r="J83">
            <v>2.0330000000000001E-2</v>
          </cell>
        </row>
        <row r="84">
          <cell r="A84" t="str">
            <v>9.7</v>
          </cell>
          <cell r="B84">
            <v>88485</v>
          </cell>
          <cell r="C84" t="str">
            <v>SINAPI</v>
          </cell>
          <cell r="D84" t="str">
            <v>APLICAÇÃO DE FUNDO SELADOR ACRÍLICO EM PAREDES, UMA DEMÃO. AF_06/2014</v>
          </cell>
          <cell r="E84" t="str">
            <v>m²</v>
          </cell>
          <cell r="F84">
            <v>1157.3699999999999</v>
          </cell>
          <cell r="G84">
            <v>2.1</v>
          </cell>
          <cell r="H84">
            <v>2.71</v>
          </cell>
          <cell r="I84">
            <v>3136.47</v>
          </cell>
          <cell r="J84">
            <v>2.4299999999999999E-3</v>
          </cell>
        </row>
        <row r="85">
          <cell r="A85" t="str">
            <v>9.8</v>
          </cell>
          <cell r="B85">
            <v>88489</v>
          </cell>
          <cell r="C85" t="str">
            <v>SINAPI</v>
          </cell>
          <cell r="D85" t="str">
            <v>APLICAÇÃO MANUAL DE PINTURA COM TINTA LÁTEX ACRÍLICA EM PAREDES, DUAS DEMÃOS. AF_06/2014</v>
          </cell>
          <cell r="E85" t="str">
            <v>m²</v>
          </cell>
          <cell r="F85">
            <v>1157.3699999999999</v>
          </cell>
          <cell r="G85">
            <v>12.8</v>
          </cell>
          <cell r="H85">
            <v>16.52</v>
          </cell>
          <cell r="I85">
            <v>19119.75</v>
          </cell>
          <cell r="J85">
            <v>1.4829999999999999E-2</v>
          </cell>
        </row>
        <row r="86">
          <cell r="A86" t="str">
            <v>9.9</v>
          </cell>
          <cell r="B86">
            <v>88431</v>
          </cell>
          <cell r="C86" t="str">
            <v>SINAPI</v>
          </cell>
          <cell r="D86" t="str">
            <v>APLICAÇÃO MANUAL DE PINTURA COM TINTA TEXTURIZADA ACRÍLICA EM PAREDES EXTERNAS DE CASAS, DUAS CORES. AF_06/2014</v>
          </cell>
          <cell r="E86" t="str">
            <v>m²</v>
          </cell>
          <cell r="F86">
            <v>489.49</v>
          </cell>
          <cell r="G86">
            <v>21.75</v>
          </cell>
          <cell r="H86">
            <v>28.07</v>
          </cell>
          <cell r="I86">
            <v>13739.98</v>
          </cell>
          <cell r="J86">
            <v>1.0659999999999999E-2</v>
          </cell>
        </row>
        <row r="87">
          <cell r="A87">
            <v>10</v>
          </cell>
          <cell r="B87"/>
          <cell r="C87"/>
          <cell r="D87" t="str">
            <v>COBERTURA</v>
          </cell>
          <cell r="E87"/>
          <cell r="F87"/>
          <cell r="G87"/>
          <cell r="H87"/>
          <cell r="I87">
            <v>85033.01</v>
          </cell>
          <cell r="J87">
            <v>6.6000000000000003E-2</v>
          </cell>
        </row>
        <row r="88">
          <cell r="A88" t="str">
            <v>10.1</v>
          </cell>
          <cell r="B88">
            <v>92539</v>
          </cell>
          <cell r="C88" t="str">
            <v>SINAPI</v>
          </cell>
          <cell r="D88" t="str">
            <v>TRAMA DE MADEIRA COMPOSTA POR RIPAS, CAIBROS E TERÇAS PARA TELHADOS DE ATÉ 2 ÁGUAS PARA TELHA DE ENCAIXE DE CERÂMICA OU DE CONCRETO, INCLUSO TRANSPORTE VERTICAL. AF_07/2019</v>
          </cell>
          <cell r="E88" t="str">
            <v>m²</v>
          </cell>
          <cell r="F88">
            <v>392.39</v>
          </cell>
          <cell r="G88">
            <v>60.53</v>
          </cell>
          <cell r="H88">
            <v>78.12</v>
          </cell>
          <cell r="I88">
            <v>30653.5</v>
          </cell>
          <cell r="J88">
            <v>2.3779999999999999E-2</v>
          </cell>
        </row>
        <row r="89">
          <cell r="A89" t="str">
            <v>10.2</v>
          </cell>
          <cell r="B89">
            <v>94440</v>
          </cell>
          <cell r="C89" t="str">
            <v>SINAPI</v>
          </cell>
          <cell r="D89" t="str">
            <v>TELHAMENTO COM TELHA CERÂMICA DE ENCAIXE, TIPO FRANCESA, COM ATÉ 2 ÁGUAS, INCLUSO TRANSPORTE VERTICAL. AF_07/2019</v>
          </cell>
          <cell r="E89" t="str">
            <v>m²</v>
          </cell>
          <cell r="F89">
            <v>392.39</v>
          </cell>
          <cell r="G89">
            <v>24.21</v>
          </cell>
          <cell r="H89">
            <v>31.24</v>
          </cell>
          <cell r="I89">
            <v>12258.26</v>
          </cell>
          <cell r="J89">
            <v>9.5099999999999994E-3</v>
          </cell>
        </row>
        <row r="90">
          <cell r="A90" t="str">
            <v>10.3</v>
          </cell>
          <cell r="B90">
            <v>80300</v>
          </cell>
          <cell r="C90" t="str">
            <v>SEDOP</v>
          </cell>
          <cell r="D90" t="str">
            <v>Imunização para madeira</v>
          </cell>
          <cell r="E90" t="str">
            <v>m²</v>
          </cell>
          <cell r="F90">
            <v>392.39</v>
          </cell>
          <cell r="G90">
            <v>5.85</v>
          </cell>
          <cell r="H90">
            <v>7.55</v>
          </cell>
          <cell r="I90">
            <v>2962.54</v>
          </cell>
          <cell r="J90">
            <v>2.3E-3</v>
          </cell>
        </row>
        <row r="91">
          <cell r="A91" t="str">
            <v>10.4</v>
          </cell>
          <cell r="B91">
            <v>71363</v>
          </cell>
          <cell r="C91" t="str">
            <v>SEDOP</v>
          </cell>
          <cell r="D91" t="str">
            <v>Cobertura em policarbonato fumê - Incl. estr. metálica</v>
          </cell>
          <cell r="E91" t="str">
            <v>m²</v>
          </cell>
          <cell r="F91">
            <v>35.130000000000003</v>
          </cell>
          <cell r="G91">
            <v>446.36</v>
          </cell>
          <cell r="H91">
            <v>576.11</v>
          </cell>
          <cell r="I91">
            <v>20238.740000000002</v>
          </cell>
          <cell r="J91">
            <v>1.5699999999999999E-2</v>
          </cell>
        </row>
        <row r="92">
          <cell r="A92" t="str">
            <v>10.5</v>
          </cell>
          <cell r="B92">
            <v>94219</v>
          </cell>
          <cell r="C92" t="str">
            <v>SINAPI</v>
          </cell>
          <cell r="D92" t="str">
            <v>CUMEEIRA E ESPIGÃO PARA TELHA CERÂMICA EMBOÇADA COM ARGAMASSA TRAÇO 1:2:9 (CIMENTO, CAL E AREIA), PARA TELHADOS COM MAIS DE 2 ÁGUAS, INCLUSO TRANSPORTE VERTICAL. AF_07/2019</v>
          </cell>
          <cell r="E92" t="str">
            <v>M</v>
          </cell>
          <cell r="F92">
            <v>35.29</v>
          </cell>
          <cell r="G92">
            <v>25.22</v>
          </cell>
          <cell r="H92">
            <v>32.549999999999997</v>
          </cell>
          <cell r="I92">
            <v>1148.68</v>
          </cell>
          <cell r="J92">
            <v>8.8999999999999995E-4</v>
          </cell>
        </row>
        <row r="93">
          <cell r="A93" t="str">
            <v>10.6</v>
          </cell>
          <cell r="B93">
            <v>100434</v>
          </cell>
          <cell r="C93" t="str">
            <v>SINAPI</v>
          </cell>
          <cell r="D93" t="str">
            <v>CALHA DE BEIRAL, SEMICIRCULAR DE PVC, DIAMETRO 125 MM, INCLUINDO CABECEIRAS, EMENDAS, BOCAIS, SUPORTES E VEDAÇÕES, EXCLUINDO CONDUTORES, INCLUSO TRANSPORTE VERTICAL. AF_07/2019</v>
          </cell>
          <cell r="E93" t="str">
            <v>M</v>
          </cell>
          <cell r="F93">
            <v>73.12</v>
          </cell>
          <cell r="G93">
            <v>59.59</v>
          </cell>
          <cell r="H93">
            <v>76.91</v>
          </cell>
          <cell r="I93">
            <v>5623.65</v>
          </cell>
          <cell r="J93">
            <v>4.3600000000000002E-3</v>
          </cell>
        </row>
        <row r="94">
          <cell r="A94" t="str">
            <v>10.7</v>
          </cell>
          <cell r="B94">
            <v>94231</v>
          </cell>
          <cell r="C94" t="str">
            <v>SINAPI</v>
          </cell>
          <cell r="D94" t="str">
            <v>RUFO EM CHAPA DE AÇO GALVANIZADO NÚMERO 24, CORTE DE 25 CM, INCLUSO TRANSPORTE VERTICAL. AF_07/2019</v>
          </cell>
          <cell r="E94" t="str">
            <v>M</v>
          </cell>
          <cell r="F94">
            <v>70.8</v>
          </cell>
          <cell r="G94">
            <v>48.72</v>
          </cell>
          <cell r="H94">
            <v>62.88</v>
          </cell>
          <cell r="I94">
            <v>4451.8999999999996</v>
          </cell>
          <cell r="J94">
            <v>3.4499999999999999E-3</v>
          </cell>
        </row>
        <row r="95">
          <cell r="A95" t="str">
            <v>10.8</v>
          </cell>
          <cell r="B95">
            <v>61458</v>
          </cell>
          <cell r="C95" t="str">
            <v>SEDOP</v>
          </cell>
          <cell r="D95" t="str">
            <v>Painel em ACM - Estruturado (fachadas)</v>
          </cell>
          <cell r="E95" t="str">
            <v>m²</v>
          </cell>
          <cell r="F95">
            <v>12.87</v>
          </cell>
          <cell r="G95">
            <v>463.29</v>
          </cell>
          <cell r="H95">
            <v>597.96</v>
          </cell>
          <cell r="I95">
            <v>7695.74</v>
          </cell>
          <cell r="J95">
            <v>5.9699999999999996E-3</v>
          </cell>
        </row>
        <row r="96">
          <cell r="A96">
            <v>11</v>
          </cell>
          <cell r="B96"/>
          <cell r="C96"/>
          <cell r="D96" t="str">
            <v>FORRO</v>
          </cell>
          <cell r="E96"/>
          <cell r="F96"/>
          <cell r="G96"/>
          <cell r="H96"/>
          <cell r="I96">
            <v>40038.42</v>
          </cell>
          <cell r="J96">
            <v>3.1099999999999999E-2</v>
          </cell>
        </row>
        <row r="97">
          <cell r="A97" t="str">
            <v>11.1</v>
          </cell>
          <cell r="B97">
            <v>96486</v>
          </cell>
          <cell r="C97" t="str">
            <v>SINAPI</v>
          </cell>
          <cell r="D97" t="str">
            <v>FORRO DE PVC, LISO, PARA AMBIENTES COMERCIAIS, INCLUSIVE ESTRUTURA DE FIXAÇÃO. AF_05/2017_P</v>
          </cell>
          <cell r="E97" t="str">
            <v>m²</v>
          </cell>
          <cell r="F97">
            <v>350.96</v>
          </cell>
          <cell r="G97">
            <v>76.260000000000005</v>
          </cell>
          <cell r="H97">
            <v>98.42</v>
          </cell>
          <cell r="I97">
            <v>34541.480000000003</v>
          </cell>
          <cell r="J97">
            <v>2.6790000000000001E-2</v>
          </cell>
        </row>
        <row r="98">
          <cell r="A98" t="str">
            <v>11.2</v>
          </cell>
          <cell r="B98">
            <v>96121</v>
          </cell>
          <cell r="C98" t="str">
            <v>SINAPI</v>
          </cell>
          <cell r="D98" t="str">
            <v>ACABAMENTOS PARA FORRO (RODA-FORRO EM PERFIL METÁLICO E PLÁSTICO). AF_05/2017</v>
          </cell>
          <cell r="E98" t="str">
            <v>M</v>
          </cell>
          <cell r="F98">
            <v>431.81</v>
          </cell>
          <cell r="G98">
            <v>9.8699999999999992</v>
          </cell>
          <cell r="H98">
            <v>12.73</v>
          </cell>
          <cell r="I98">
            <v>5496.94</v>
          </cell>
          <cell r="J98">
            <v>4.2599999999999999E-3</v>
          </cell>
        </row>
        <row r="99">
          <cell r="A99">
            <v>12</v>
          </cell>
          <cell r="B99"/>
          <cell r="C99"/>
          <cell r="D99" t="str">
            <v>ESQUADRIAS</v>
          </cell>
          <cell r="E99"/>
          <cell r="F99"/>
          <cell r="G99"/>
          <cell r="H99"/>
          <cell r="I99">
            <v>86694.35</v>
          </cell>
          <cell r="J99">
            <v>6.7199999999999996E-2</v>
          </cell>
        </row>
        <row r="100">
          <cell r="A100" t="str">
            <v>12.1</v>
          </cell>
          <cell r="B100">
            <v>91505</v>
          </cell>
          <cell r="C100" t="str">
            <v>SEDOP</v>
          </cell>
          <cell r="D100" t="str">
            <v>Porta miolo madeira, acabamento em MDF c/ ferragens de abrir</v>
          </cell>
          <cell r="E100" t="str">
            <v>m²</v>
          </cell>
          <cell r="F100">
            <v>48.47</v>
          </cell>
          <cell r="G100">
            <v>330.97</v>
          </cell>
          <cell r="H100">
            <v>427.18</v>
          </cell>
          <cell r="I100">
            <v>20705.41</v>
          </cell>
          <cell r="J100">
            <v>1.6060000000000001E-2</v>
          </cell>
        </row>
        <row r="101">
          <cell r="A101" t="str">
            <v>12.2</v>
          </cell>
          <cell r="B101">
            <v>100660</v>
          </cell>
          <cell r="C101" t="str">
            <v>SINAPI</v>
          </cell>
          <cell r="D101" t="str">
            <v>ALIZAR DE 5X1,5CM PARA PORTA FIXADO COM PREGOS, PADRÃO POPULAR - FORNECIMENTO E INSTALAÇÃO. AF_12/2019</v>
          </cell>
          <cell r="E101" t="str">
            <v>M</v>
          </cell>
          <cell r="F101">
            <v>136.47999999999999</v>
          </cell>
          <cell r="G101">
            <v>4.92</v>
          </cell>
          <cell r="H101">
            <v>6.35</v>
          </cell>
          <cell r="I101">
            <v>866.64</v>
          </cell>
          <cell r="J101">
            <v>6.7000000000000002E-4</v>
          </cell>
        </row>
        <row r="102">
          <cell r="A102" t="str">
            <v>12.3</v>
          </cell>
          <cell r="B102">
            <v>102219</v>
          </cell>
          <cell r="C102" t="str">
            <v>SINAPI</v>
          </cell>
          <cell r="D102" t="str">
            <v>PINTURA TINTA DE ACABAMENTO (PIGMENTADA) ESMALTE SINTÉTICO ACETINADO EM MADEIRA, 2 DEMÃOS. AF_01/2021</v>
          </cell>
          <cell r="E102" t="str">
            <v>m²</v>
          </cell>
          <cell r="F102">
            <v>48.47</v>
          </cell>
          <cell r="G102">
            <v>11.23</v>
          </cell>
          <cell r="H102">
            <v>14.49</v>
          </cell>
          <cell r="I102">
            <v>702.33</v>
          </cell>
          <cell r="J102">
            <v>5.4000000000000001E-4</v>
          </cell>
        </row>
        <row r="103">
          <cell r="A103" t="str">
            <v>12.4</v>
          </cell>
          <cell r="B103">
            <v>91338</v>
          </cell>
          <cell r="C103" t="str">
            <v>SINAPI</v>
          </cell>
          <cell r="D103" t="str">
            <v>PORTA DE ALUMÍNIO DE ABRIR COM LAMBRI, COM GUARNIÇÃO, FIXAÇÃO COM PARAFUSOS - FORNECIMENTO E INSTALAÇÃO. AF_12/2019</v>
          </cell>
          <cell r="E103" t="str">
            <v>m²</v>
          </cell>
          <cell r="F103">
            <v>4.62</v>
          </cell>
          <cell r="G103">
            <v>528</v>
          </cell>
          <cell r="H103">
            <v>681.48</v>
          </cell>
          <cell r="I103">
            <v>3148.43</v>
          </cell>
          <cell r="J103">
            <v>2.4399999999999999E-3</v>
          </cell>
        </row>
        <row r="104">
          <cell r="A104" t="str">
            <v>12.5</v>
          </cell>
          <cell r="B104">
            <v>100702</v>
          </cell>
          <cell r="C104" t="str">
            <v>SINAPI</v>
          </cell>
          <cell r="D104" t="str">
            <v>PORTA DE CORRER DE ALUMÍNIO, COM DUAS FOLHAS PARA VIDRO, INCLUSO VIDRO LISO INCOLOR, FECHADURA E PUXADOR, SEM ALIZAR. AF_12/2019</v>
          </cell>
          <cell r="E104" t="str">
            <v>m²</v>
          </cell>
          <cell r="F104">
            <v>16.28</v>
          </cell>
          <cell r="G104">
            <v>308.48</v>
          </cell>
          <cell r="H104">
            <v>398.15</v>
          </cell>
          <cell r="I104">
            <v>6481.88</v>
          </cell>
          <cell r="J104">
            <v>5.0299999999999997E-3</v>
          </cell>
        </row>
        <row r="105">
          <cell r="A105" t="str">
            <v>12.6</v>
          </cell>
          <cell r="B105">
            <v>93184</v>
          </cell>
          <cell r="C105" t="str">
            <v>SINAPI</v>
          </cell>
          <cell r="D105" t="str">
            <v>VERGA PRÉ-MOLDADA PARA PORTAS COM ATÉ 1,5 M DE VÃO. AF_03/2016</v>
          </cell>
          <cell r="E105" t="str">
            <v>M</v>
          </cell>
          <cell r="F105">
            <v>38.979999999999997</v>
          </cell>
          <cell r="G105">
            <v>31.34</v>
          </cell>
          <cell r="H105">
            <v>40.450000000000003</v>
          </cell>
          <cell r="I105">
            <v>1576.74</v>
          </cell>
          <cell r="J105">
            <v>1.2199999999999999E-3</v>
          </cell>
        </row>
        <row r="106">
          <cell r="A106" t="str">
            <v>12.7</v>
          </cell>
          <cell r="B106">
            <v>93185</v>
          </cell>
          <cell r="C106" t="str">
            <v>SINAPI</v>
          </cell>
          <cell r="D106" t="str">
            <v>VERGA PRÉ-MOLDADA PARA PORTAS COM MAIS DE 1,5 M DE VÃO. AF_03/2016</v>
          </cell>
          <cell r="E106" t="str">
            <v>M</v>
          </cell>
          <cell r="F106">
            <v>6.8</v>
          </cell>
          <cell r="G106">
            <v>54.3</v>
          </cell>
          <cell r="H106">
            <v>70.08</v>
          </cell>
          <cell r="I106">
            <v>476.54</v>
          </cell>
          <cell r="J106">
            <v>3.6999999999999999E-4</v>
          </cell>
        </row>
        <row r="107">
          <cell r="A107" t="str">
            <v>12.8</v>
          </cell>
          <cell r="B107">
            <v>98689</v>
          </cell>
          <cell r="C107" t="str">
            <v>SINAPI</v>
          </cell>
          <cell r="D107" t="str">
            <v>SOLEIRA EM GRANITO, LARGURA 15 CM, ESPESSURA 2,0 CM. AF_09/2020</v>
          </cell>
          <cell r="E107" t="str">
            <v>M</v>
          </cell>
          <cell r="F107">
            <v>32.58</v>
          </cell>
          <cell r="G107">
            <v>55.41</v>
          </cell>
          <cell r="H107">
            <v>71.510000000000005</v>
          </cell>
          <cell r="I107">
            <v>2329.79</v>
          </cell>
          <cell r="J107">
            <v>1.81E-3</v>
          </cell>
        </row>
        <row r="108">
          <cell r="A108" t="str">
            <v>12.9</v>
          </cell>
          <cell r="B108">
            <v>91517</v>
          </cell>
          <cell r="C108" t="str">
            <v>SEDOP</v>
          </cell>
          <cell r="D108" t="str">
            <v>Esquadriabasculante em vidro temperado de 6mm</v>
          </cell>
          <cell r="E108" t="str">
            <v>m²</v>
          </cell>
          <cell r="F108">
            <v>3.6</v>
          </cell>
          <cell r="G108">
            <v>533.39</v>
          </cell>
          <cell r="H108">
            <v>688.44</v>
          </cell>
          <cell r="I108">
            <v>2478.38</v>
          </cell>
          <cell r="J108">
            <v>1.92E-3</v>
          </cell>
        </row>
        <row r="109">
          <cell r="A109" t="str">
            <v>12.10</v>
          </cell>
          <cell r="B109">
            <v>94573</v>
          </cell>
          <cell r="C109" t="str">
            <v>SINAPI</v>
          </cell>
          <cell r="D109" t="str">
            <v>JANELA DE ALUMÍNIO DE CORRER COM 4 FOLHAS PARA VIDROS, COM VIDROS, BATENTE, ACABAMENTO COM ACETATO OU BRILHANTE E FERRAGENS. EXCLUSIVE ALIZAR E CONTRAMARCO. FORNECIMENTO E INSTALAÇÃO. AF_12/2019</v>
          </cell>
          <cell r="E109" t="str">
            <v>m²</v>
          </cell>
          <cell r="F109">
            <v>28.8</v>
          </cell>
          <cell r="G109">
            <v>264.17</v>
          </cell>
          <cell r="H109">
            <v>340.96</v>
          </cell>
          <cell r="I109">
            <v>9819.64</v>
          </cell>
          <cell r="J109">
            <v>7.62E-3</v>
          </cell>
        </row>
        <row r="110">
          <cell r="A110" t="str">
            <v>12.11</v>
          </cell>
          <cell r="B110">
            <v>93182</v>
          </cell>
          <cell r="C110" t="str">
            <v>SINAPI</v>
          </cell>
          <cell r="D110" t="str">
            <v>VERGA PRÉ-MOLDADA PARA JANELAS COM ATÉ 1,5 M DE VÃO. AF_03/2016</v>
          </cell>
          <cell r="E110" t="str">
            <v>M</v>
          </cell>
          <cell r="F110">
            <v>27.8</v>
          </cell>
          <cell r="G110">
            <v>42.62</v>
          </cell>
          <cell r="H110">
            <v>55</v>
          </cell>
          <cell r="I110">
            <v>1529</v>
          </cell>
          <cell r="J110">
            <v>1.1900000000000001E-3</v>
          </cell>
        </row>
        <row r="111">
          <cell r="A111" t="str">
            <v>12.12</v>
          </cell>
          <cell r="B111">
            <v>93194</v>
          </cell>
          <cell r="C111" t="str">
            <v>SINAPI</v>
          </cell>
          <cell r="D111" t="str">
            <v>CONTRAVERGA PRÉ-MOLDADA PARA VÃOS DE ATÉ 1,5 M DE COMPRIMENTO. AF_03/2016</v>
          </cell>
          <cell r="E111" t="str">
            <v>M</v>
          </cell>
          <cell r="F111">
            <v>27.8</v>
          </cell>
          <cell r="G111">
            <v>41.81</v>
          </cell>
          <cell r="H111">
            <v>53.96</v>
          </cell>
          <cell r="I111">
            <v>1500.08</v>
          </cell>
          <cell r="J111">
            <v>1.16E-3</v>
          </cell>
        </row>
        <row r="112">
          <cell r="A112" t="str">
            <v>12.13</v>
          </cell>
          <cell r="B112">
            <v>93183</v>
          </cell>
          <cell r="C112" t="str">
            <v>SINAPI</v>
          </cell>
          <cell r="D112" t="str">
            <v>VERGA PRÉ-MOLDADA PARA JANELAS COM MAIS DE 1,5 M DE VÃO. AF_03/2016</v>
          </cell>
          <cell r="E112" t="str">
            <v>M</v>
          </cell>
          <cell r="F112">
            <v>26.4</v>
          </cell>
          <cell r="G112">
            <v>55.02</v>
          </cell>
          <cell r="H112">
            <v>71.010000000000005</v>
          </cell>
          <cell r="I112">
            <v>1874.66</v>
          </cell>
          <cell r="J112">
            <v>1.4499999999999999E-3</v>
          </cell>
        </row>
        <row r="113">
          <cell r="A113" t="str">
            <v>12.14</v>
          </cell>
          <cell r="B113">
            <v>93195</v>
          </cell>
          <cell r="C113" t="str">
            <v>SINAPI</v>
          </cell>
          <cell r="D113" t="str">
            <v>CONTRAVERGA PRÉ-MOLDADA PARA VÃOS DE MAIS DE 1,5 M DE COMPRIMENTO. AF_03/2016</v>
          </cell>
          <cell r="E113" t="str">
            <v>M</v>
          </cell>
          <cell r="F113">
            <v>26.4</v>
          </cell>
          <cell r="G113">
            <v>50.7</v>
          </cell>
          <cell r="H113">
            <v>65.430000000000007</v>
          </cell>
          <cell r="I113">
            <v>1727.35</v>
          </cell>
          <cell r="J113">
            <v>1.34E-3</v>
          </cell>
        </row>
        <row r="114">
          <cell r="A114" t="str">
            <v>12.15</v>
          </cell>
          <cell r="B114">
            <v>101965</v>
          </cell>
          <cell r="C114" t="str">
            <v>SINAPI</v>
          </cell>
          <cell r="D114" t="str">
            <v>PEITORIL LINEAR EM GRANITO OU MÁRMORE, L = 15CM, COMPRIMENTO DE ATÉ 2M, ASSENTADO COM ARGAMASSA 1:6 COM ADITIVO. AF_11/2020</v>
          </cell>
          <cell r="E114" t="str">
            <v>M</v>
          </cell>
          <cell r="F114">
            <v>45.2</v>
          </cell>
          <cell r="G114">
            <v>97.6</v>
          </cell>
          <cell r="H114">
            <v>125.97</v>
          </cell>
          <cell r="I114">
            <v>5693.84</v>
          </cell>
          <cell r="J114">
            <v>4.4200000000000003E-3</v>
          </cell>
        </row>
        <row r="115">
          <cell r="A115" t="str">
            <v>12.16</v>
          </cell>
          <cell r="B115">
            <v>90071</v>
          </cell>
          <cell r="C115" t="str">
            <v>SEDOP</v>
          </cell>
          <cell r="D115" t="str">
            <v>Grade de ferro 1/2" (incl. pint. anti-corrosiva)</v>
          </cell>
          <cell r="E115" t="str">
            <v>m²</v>
          </cell>
          <cell r="F115">
            <v>71.09</v>
          </cell>
          <cell r="G115">
            <v>256.68</v>
          </cell>
          <cell r="H115">
            <v>331.29</v>
          </cell>
          <cell r="I115">
            <v>23551.4</v>
          </cell>
          <cell r="J115">
            <v>1.8270000000000002E-2</v>
          </cell>
        </row>
        <row r="116">
          <cell r="A116" t="str">
            <v>12.17</v>
          </cell>
          <cell r="B116">
            <v>100739</v>
          </cell>
          <cell r="C116" t="str">
            <v>SINAPI</v>
          </cell>
          <cell r="D116" t="str">
            <v>PINTURA COM TINTA ALQUÍDICA DE ACABAMENTO (ESMALTE SINTÉTICO ACETINADO) PULVERIZADA SOBRE PERFIL METÁLICO EXECUTADO EM FÁBRICA (POR DEMÃO). AF_01/2020_P</v>
          </cell>
          <cell r="E116" t="str">
            <v>m²</v>
          </cell>
          <cell r="F116">
            <v>71.09</v>
          </cell>
          <cell r="G116">
            <v>6.88</v>
          </cell>
          <cell r="H116">
            <v>8.8800000000000008</v>
          </cell>
          <cell r="I116">
            <v>631.27</v>
          </cell>
          <cell r="J116">
            <v>4.8999999999999998E-4</v>
          </cell>
        </row>
        <row r="117">
          <cell r="A117" t="str">
            <v>12.18</v>
          </cell>
          <cell r="B117">
            <v>250109</v>
          </cell>
          <cell r="C117" t="str">
            <v>SEDOP</v>
          </cell>
          <cell r="D117" t="str">
            <v>Espelho de cristal (0,40x0,60m) com moldura em alumínio</v>
          </cell>
          <cell r="E117" t="str">
            <v>UN</v>
          </cell>
          <cell r="F117">
            <v>7</v>
          </cell>
          <cell r="G117">
            <v>177.2</v>
          </cell>
          <cell r="H117">
            <v>228.71</v>
          </cell>
          <cell r="I117">
            <v>1600.97</v>
          </cell>
          <cell r="J117">
            <v>1.24E-3</v>
          </cell>
        </row>
        <row r="118">
          <cell r="A118">
            <v>13</v>
          </cell>
          <cell r="B118"/>
          <cell r="C118"/>
          <cell r="D118" t="str">
            <v>INSTALAÇÕES ELÉTRICAS</v>
          </cell>
          <cell r="E118"/>
          <cell r="F118"/>
          <cell r="G118"/>
          <cell r="H118"/>
          <cell r="I118">
            <v>95741.58</v>
          </cell>
          <cell r="J118">
            <v>7.4200000000000002E-2</v>
          </cell>
        </row>
        <row r="119">
          <cell r="A119" t="str">
            <v>13.1</v>
          </cell>
          <cell r="B119"/>
          <cell r="C119"/>
          <cell r="D119" t="str">
            <v>QUADROS</v>
          </cell>
          <cell r="E119"/>
          <cell r="F119"/>
          <cell r="G119"/>
          <cell r="H119"/>
          <cell r="I119">
            <v>6759.27</v>
          </cell>
          <cell r="J119">
            <v>5.1999999999999998E-3</v>
          </cell>
        </row>
        <row r="120">
          <cell r="A120" t="str">
            <v>13.1.1</v>
          </cell>
          <cell r="B120">
            <v>101511</v>
          </cell>
          <cell r="C120" t="str">
            <v>SINAPI</v>
          </cell>
          <cell r="D120" t="str">
            <v>ENTRADA DE ENERGIA ELÉTRICA, AÉREA, TRIFÁSICA, COM CAIXA DE EMBUTIR, CABO DE 25 MM2 E DISJUNTOR DIN 50A (NÃO INCLUSO O POSTE DE CONCRETO). AF_07/2020</v>
          </cell>
          <cell r="E120" t="str">
            <v>UN</v>
          </cell>
          <cell r="F120">
            <v>1</v>
          </cell>
          <cell r="G120">
            <v>1816.22</v>
          </cell>
          <cell r="H120">
            <v>2344.19</v>
          </cell>
          <cell r="I120">
            <v>2344.19</v>
          </cell>
          <cell r="J120">
            <v>1.82E-3</v>
          </cell>
        </row>
        <row r="121">
          <cell r="A121" t="str">
            <v>13.1.2</v>
          </cell>
          <cell r="B121">
            <v>101883</v>
          </cell>
          <cell r="C121" t="str">
            <v>SINAPI</v>
          </cell>
          <cell r="D121" t="str">
            <v>QUADRO DE DISTRIBUIÇÃO DE ENERGIA EM CHAPA DE AÇO GALVANIZADO, DE EMBUTIR, COM BARRAMENTO TRIFÁSICO, PARA 18 DISJUNTORES DIN 100A - FORNECIMENTO E INSTALAÇÃO. AF_10/2020</v>
          </cell>
          <cell r="E121" t="str">
            <v>UN</v>
          </cell>
          <cell r="F121">
            <v>1</v>
          </cell>
          <cell r="G121">
            <v>553.45000000000005</v>
          </cell>
          <cell r="H121">
            <v>714.33</v>
          </cell>
          <cell r="I121">
            <v>714.33</v>
          </cell>
          <cell r="J121">
            <v>5.5000000000000003E-4</v>
          </cell>
        </row>
        <row r="122">
          <cell r="A122" t="str">
            <v>13.1.3</v>
          </cell>
          <cell r="B122">
            <v>101880</v>
          </cell>
          <cell r="C122" t="str">
            <v>SINAPI</v>
          </cell>
          <cell r="D122" t="str">
            <v>QUADRO DE DISTRIBUIÇÃO DE ENERGIA EM CHAPA DE AÇO GALVANIZADO, DE EMBUTIR, COM BARRAMENTO TRIFÁSICO, PARA 30 DISJUNTORES DIN 150A - FORNECIMENTO E INSTALAÇÃO. AF_10/2020</v>
          </cell>
          <cell r="E122" t="str">
            <v>UN</v>
          </cell>
          <cell r="F122">
            <v>2</v>
          </cell>
          <cell r="G122">
            <v>668.81</v>
          </cell>
          <cell r="H122">
            <v>863.23</v>
          </cell>
          <cell r="I122">
            <v>1726.46</v>
          </cell>
          <cell r="J122">
            <v>1.34E-3</v>
          </cell>
        </row>
        <row r="123">
          <cell r="A123" t="str">
            <v>13.1.4</v>
          </cell>
          <cell r="B123">
            <v>170386</v>
          </cell>
          <cell r="C123" t="str">
            <v>SEDOP</v>
          </cell>
          <cell r="D123" t="str">
            <v>Centro de distribuiçao p/ 32 disjuntores (c/ barramento)</v>
          </cell>
          <cell r="E123" t="str">
            <v>UN</v>
          </cell>
          <cell r="F123">
            <v>1</v>
          </cell>
          <cell r="G123">
            <v>712.07</v>
          </cell>
          <cell r="H123">
            <v>919.06</v>
          </cell>
          <cell r="I123">
            <v>919.06</v>
          </cell>
          <cell r="J123">
            <v>7.1000000000000002E-4</v>
          </cell>
        </row>
        <row r="124">
          <cell r="A124" t="str">
            <v>13.1.5</v>
          </cell>
          <cell r="B124">
            <v>170868</v>
          </cell>
          <cell r="C124" t="str">
            <v>SEDOP</v>
          </cell>
          <cell r="D124" t="str">
            <v>Quadro de comando - proteção trifásico - 3CV</v>
          </cell>
          <cell r="E124" t="str">
            <v>UN</v>
          </cell>
          <cell r="F124">
            <v>1</v>
          </cell>
          <cell r="G124">
            <v>817.57</v>
          </cell>
          <cell r="H124">
            <v>1055.23</v>
          </cell>
          <cell r="I124">
            <v>1055.23</v>
          </cell>
          <cell r="J124">
            <v>8.1999999999999998E-4</v>
          </cell>
        </row>
        <row r="125">
          <cell r="A125" t="str">
            <v>13.2</v>
          </cell>
          <cell r="B125"/>
          <cell r="C125"/>
          <cell r="D125" t="str">
            <v>DISJUNTORES</v>
          </cell>
          <cell r="E125"/>
          <cell r="F125"/>
          <cell r="G125"/>
          <cell r="H125"/>
          <cell r="I125">
            <v>9505.65</v>
          </cell>
          <cell r="J125">
            <v>7.4000000000000003E-3</v>
          </cell>
        </row>
        <row r="126">
          <cell r="A126" t="str">
            <v>13.2.1</v>
          </cell>
          <cell r="B126">
            <v>93653</v>
          </cell>
          <cell r="C126" t="str">
            <v>SINAPI</v>
          </cell>
          <cell r="D126" t="str">
            <v>DISJUNTOR MONOPOLAR TIPO DIN, CORRENTE NOMINAL DE 10A - FORNECIMENTO E INSTALAÇÃO. AF_10/2020</v>
          </cell>
          <cell r="E126" t="str">
            <v>UN</v>
          </cell>
          <cell r="F126">
            <v>10</v>
          </cell>
          <cell r="G126">
            <v>9.66</v>
          </cell>
          <cell r="H126">
            <v>12.46</v>
          </cell>
          <cell r="I126">
            <v>124.6</v>
          </cell>
          <cell r="J126">
            <v>1E-4</v>
          </cell>
        </row>
        <row r="127">
          <cell r="A127" t="str">
            <v>13.2.2</v>
          </cell>
          <cell r="B127">
            <v>93660</v>
          </cell>
          <cell r="C127" t="str">
            <v>SINAPI</v>
          </cell>
          <cell r="D127" t="str">
            <v>DISJUNTOR BIPOLAR TIPO DIN, CORRENTE NOMINAL DE 10A - FORNECIMENTO E INSTALAÇÃO. AF_10/2020</v>
          </cell>
          <cell r="E127" t="str">
            <v>UN</v>
          </cell>
          <cell r="F127">
            <v>4</v>
          </cell>
          <cell r="G127">
            <v>48.79</v>
          </cell>
          <cell r="H127">
            <v>62.97</v>
          </cell>
          <cell r="I127">
            <v>251.88</v>
          </cell>
          <cell r="J127">
            <v>2.0000000000000001E-4</v>
          </cell>
        </row>
        <row r="128">
          <cell r="A128" t="str">
            <v>13.2.3</v>
          </cell>
          <cell r="B128">
            <v>93661</v>
          </cell>
          <cell r="C128" t="str">
            <v>SINAPI</v>
          </cell>
          <cell r="D128" t="str">
            <v>DISJUNTOR BIPOLAR TIPO DIN, CORRENTE NOMINAL DE 16A - FORNECIMENTO E INSTALAÇÃO. AF_10/2020</v>
          </cell>
          <cell r="E128" t="str">
            <v>UN</v>
          </cell>
          <cell r="F128">
            <v>20</v>
          </cell>
          <cell r="G128">
            <v>49.64</v>
          </cell>
          <cell r="H128">
            <v>64.069999999999993</v>
          </cell>
          <cell r="I128">
            <v>1281.4000000000001</v>
          </cell>
          <cell r="J128">
            <v>9.8999999999999999E-4</v>
          </cell>
        </row>
        <row r="129">
          <cell r="A129" t="str">
            <v>13.2.4</v>
          </cell>
          <cell r="B129">
            <v>93662</v>
          </cell>
          <cell r="C129" t="str">
            <v>SINAPI</v>
          </cell>
          <cell r="D129" t="str">
            <v>DISJUNTOR BIPOLAR TIPO DIN, CORRENTE NOMINAL DE 20A - FORNECIMENTO E INSTALAÇÃO. AF_10/2020</v>
          </cell>
          <cell r="E129" t="str">
            <v>UN</v>
          </cell>
          <cell r="F129">
            <v>2</v>
          </cell>
          <cell r="G129">
            <v>51.25</v>
          </cell>
          <cell r="H129">
            <v>66.14</v>
          </cell>
          <cell r="I129">
            <v>132.28</v>
          </cell>
          <cell r="J129">
            <v>1E-4</v>
          </cell>
        </row>
        <row r="130">
          <cell r="A130" t="str">
            <v>13.2.5</v>
          </cell>
          <cell r="B130">
            <v>93664</v>
          </cell>
          <cell r="C130" t="str">
            <v>SINAPI</v>
          </cell>
          <cell r="D130" t="str">
            <v>DISJUNTOR BIPOLAR TIPO DIN, CORRENTE NOMINAL DE 32A - FORNECIMENTO E INSTALAÇÃO. AF_10/2020</v>
          </cell>
          <cell r="E130" t="str">
            <v>UN</v>
          </cell>
          <cell r="F130">
            <v>1</v>
          </cell>
          <cell r="G130">
            <v>53.25</v>
          </cell>
          <cell r="H130">
            <v>68.72</v>
          </cell>
          <cell r="I130">
            <v>68.72</v>
          </cell>
          <cell r="J130">
            <v>5.0000000000000002E-5</v>
          </cell>
        </row>
        <row r="131">
          <cell r="A131" t="str">
            <v>13.2.6</v>
          </cell>
          <cell r="B131">
            <v>93666</v>
          </cell>
          <cell r="C131" t="str">
            <v>SINAPI</v>
          </cell>
          <cell r="D131" t="str">
            <v>DISJUNTOR BIPOLAR TIPO DIN, CORRENTE NOMINAL DE 50A - FORNECIMENTO E INSTALAÇÃO. AF_10/2020</v>
          </cell>
          <cell r="E131" t="str">
            <v>UN</v>
          </cell>
          <cell r="F131">
            <v>1</v>
          </cell>
          <cell r="G131">
            <v>59.73</v>
          </cell>
          <cell r="H131">
            <v>77.09</v>
          </cell>
          <cell r="I131">
            <v>77.09</v>
          </cell>
          <cell r="J131">
            <v>6.0000000000000002E-5</v>
          </cell>
        </row>
        <row r="132">
          <cell r="A132" t="str">
            <v>13.2.7</v>
          </cell>
          <cell r="B132" t="str">
            <v>CP063</v>
          </cell>
          <cell r="C132" t="str">
            <v>Próprio</v>
          </cell>
          <cell r="D132" t="str">
            <v>DISJUNTOR BIPOLAR, CORRENTE NOMINAL DE 60 ATÉ 100A - FORNECIMENTO E INSTALAÇÃO.</v>
          </cell>
          <cell r="E132" t="str">
            <v>UN</v>
          </cell>
          <cell r="F132">
            <v>4</v>
          </cell>
          <cell r="G132">
            <v>92.43</v>
          </cell>
          <cell r="H132">
            <v>119.29</v>
          </cell>
          <cell r="I132">
            <v>477.16</v>
          </cell>
          <cell r="J132">
            <v>3.6999999999999999E-4</v>
          </cell>
        </row>
        <row r="133">
          <cell r="A133" t="str">
            <v>13.2.8</v>
          </cell>
          <cell r="B133">
            <v>101896</v>
          </cell>
          <cell r="C133" t="str">
            <v>SINAPI</v>
          </cell>
          <cell r="D133" t="str">
            <v>DISJUNTOR TERMOMAGNÉTICO TRIPOLAR , CORRENTE NOMINAL DE 200A - FORNECIMENTO E INSTALAÇÃO. AF_10/2020</v>
          </cell>
          <cell r="E133" t="str">
            <v>UN</v>
          </cell>
          <cell r="F133">
            <v>1</v>
          </cell>
          <cell r="G133">
            <v>540.98</v>
          </cell>
          <cell r="H133">
            <v>698.24</v>
          </cell>
          <cell r="I133">
            <v>698.24</v>
          </cell>
          <cell r="J133">
            <v>5.4000000000000001E-4</v>
          </cell>
        </row>
        <row r="134">
          <cell r="A134" t="str">
            <v>13.2.9</v>
          </cell>
          <cell r="B134" t="str">
            <v>CP003</v>
          </cell>
          <cell r="C134" t="str">
            <v>Próprio</v>
          </cell>
          <cell r="D134" t="str">
            <v>DISPOSITIVO DPS, 1 POLO, TENSAO MAXIMA DE 275 V, CORRENTE MAXIMA DE *45*KA</v>
          </cell>
          <cell r="E134" t="str">
            <v>UN</v>
          </cell>
          <cell r="F134">
            <v>20</v>
          </cell>
          <cell r="G134">
            <v>145.22</v>
          </cell>
          <cell r="H134">
            <v>187.43</v>
          </cell>
          <cell r="I134">
            <v>3748.6</v>
          </cell>
          <cell r="J134">
            <v>2.9099999999999998E-3</v>
          </cell>
        </row>
        <row r="135">
          <cell r="A135" t="str">
            <v>13.2.10</v>
          </cell>
          <cell r="B135" t="str">
            <v>CP019</v>
          </cell>
          <cell r="C135" t="str">
            <v>Próprio</v>
          </cell>
          <cell r="D135" t="str">
            <v>DISPOSITIVO BIPOLAR DR, SENSIBILIDADE DE 30 MA, CORRENTE DE 25 A</v>
          </cell>
          <cell r="E135" t="str">
            <v>UN</v>
          </cell>
          <cell r="F135">
            <v>9</v>
          </cell>
          <cell r="G135">
            <v>175.91</v>
          </cell>
          <cell r="H135">
            <v>227.04</v>
          </cell>
          <cell r="I135">
            <v>2043.36</v>
          </cell>
          <cell r="J135">
            <v>1.58E-3</v>
          </cell>
        </row>
        <row r="136">
          <cell r="A136" t="str">
            <v>13.2.11</v>
          </cell>
          <cell r="B136" t="str">
            <v>CP064</v>
          </cell>
          <cell r="C136" t="str">
            <v>Próprio</v>
          </cell>
          <cell r="D136" t="str">
            <v>DISPOSITIVO BIPOLAR DR, SENSIBILIDADE DE 30 MA, CORRENTE DE 63 A</v>
          </cell>
          <cell r="E136" t="str">
            <v>UN</v>
          </cell>
          <cell r="F136">
            <v>1</v>
          </cell>
          <cell r="G136">
            <v>186.66</v>
          </cell>
          <cell r="H136">
            <v>240.92</v>
          </cell>
          <cell r="I136">
            <v>240.92</v>
          </cell>
          <cell r="J136">
            <v>1.9000000000000001E-4</v>
          </cell>
        </row>
        <row r="137">
          <cell r="A137" t="str">
            <v>13.2.12</v>
          </cell>
          <cell r="B137" t="str">
            <v>CP020</v>
          </cell>
          <cell r="C137" t="str">
            <v>Próprio</v>
          </cell>
          <cell r="D137" t="str">
            <v>DISPOSITIVO BIPOLAR DR, SENSIBILIDADE DE 30 MA, CORRENTE DE 80 A</v>
          </cell>
          <cell r="E137" t="str">
            <v>UN</v>
          </cell>
          <cell r="F137">
            <v>1</v>
          </cell>
          <cell r="G137">
            <v>280.01</v>
          </cell>
          <cell r="H137">
            <v>361.4</v>
          </cell>
          <cell r="I137">
            <v>361.4</v>
          </cell>
          <cell r="J137">
            <v>2.7999999999999998E-4</v>
          </cell>
        </row>
        <row r="138">
          <cell r="A138" t="str">
            <v>13.3</v>
          </cell>
          <cell r="B138"/>
          <cell r="C138"/>
          <cell r="D138" t="str">
            <v>TOMADAS E INTERRUPTORES</v>
          </cell>
          <cell r="E138"/>
          <cell r="F138"/>
          <cell r="G138"/>
          <cell r="H138"/>
          <cell r="I138">
            <v>4157.1000000000004</v>
          </cell>
          <cell r="J138">
            <v>3.2000000000000002E-3</v>
          </cell>
        </row>
        <row r="139">
          <cell r="A139" t="str">
            <v>13.3.1</v>
          </cell>
          <cell r="B139">
            <v>91996</v>
          </cell>
          <cell r="C139" t="str">
            <v>SINAPI</v>
          </cell>
          <cell r="D139" t="str">
            <v>TOMADA MÉDIA DE EMBUTIR (1 MÓDULO), 2P+T 10 A, INCLUINDO SUPORTE E PLACA - FORNECIMENTO E INSTALAÇÃO. AF_12/2015</v>
          </cell>
          <cell r="E139" t="str">
            <v>UN</v>
          </cell>
          <cell r="F139">
            <v>57</v>
          </cell>
          <cell r="G139">
            <v>24.68</v>
          </cell>
          <cell r="H139">
            <v>31.85</v>
          </cell>
          <cell r="I139">
            <v>1815.45</v>
          </cell>
          <cell r="J139">
            <v>1.41E-3</v>
          </cell>
        </row>
        <row r="140">
          <cell r="A140" t="str">
            <v>13.3.2</v>
          </cell>
          <cell r="B140">
            <v>91993</v>
          </cell>
          <cell r="C140" t="str">
            <v>SINAPI</v>
          </cell>
          <cell r="D140" t="str">
            <v>TOMADA ALTA DE EMBUTIR (1 MÓDULO), 2P+T 20 A, INCLUINDO SUPORTE E PLACA - FORNECIMENTO E INSTALAÇÃO. AF_12/2015</v>
          </cell>
          <cell r="E140" t="str">
            <v>UN</v>
          </cell>
          <cell r="F140">
            <v>15</v>
          </cell>
          <cell r="G140">
            <v>33.200000000000003</v>
          </cell>
          <cell r="H140">
            <v>42.85</v>
          </cell>
          <cell r="I140">
            <v>642.75</v>
          </cell>
          <cell r="J140">
            <v>5.0000000000000001E-4</v>
          </cell>
        </row>
        <row r="141">
          <cell r="A141" t="str">
            <v>13.3.3</v>
          </cell>
          <cell r="B141">
            <v>92004</v>
          </cell>
          <cell r="C141" t="str">
            <v>SINAPI</v>
          </cell>
          <cell r="D141" t="str">
            <v>TOMADA MÉDIA DE EMBUTIR (2 MÓDULOS), 2P+T 10 A, INCLUINDO SUPORTE E PLACA - FORNECIMENTO E INSTALAÇÃO. AF_12/2015</v>
          </cell>
          <cell r="E141" t="str">
            <v>UN</v>
          </cell>
          <cell r="F141">
            <v>8</v>
          </cell>
          <cell r="G141">
            <v>40.65</v>
          </cell>
          <cell r="H141">
            <v>52.46</v>
          </cell>
          <cell r="I141">
            <v>419.68</v>
          </cell>
          <cell r="J141">
            <v>3.3E-4</v>
          </cell>
        </row>
        <row r="142">
          <cell r="A142" t="str">
            <v>13.3.4</v>
          </cell>
          <cell r="B142">
            <v>91953</v>
          </cell>
          <cell r="C142" t="str">
            <v>SINAPI</v>
          </cell>
          <cell r="D142" t="str">
            <v>INTERRUPTOR SIMPLES (1 MÓDULO), 10A/250V, INCLUINDO SUPORTE E PLACA - FORNECIMENTO E INSTALAÇÃO. AF_12/2015</v>
          </cell>
          <cell r="E142" t="str">
            <v>UN</v>
          </cell>
          <cell r="F142">
            <v>41</v>
          </cell>
          <cell r="G142">
            <v>20.94</v>
          </cell>
          <cell r="H142">
            <v>27.02</v>
          </cell>
          <cell r="I142">
            <v>1107.82</v>
          </cell>
          <cell r="J142">
            <v>8.5999999999999998E-4</v>
          </cell>
        </row>
        <row r="143">
          <cell r="A143" t="str">
            <v>13.3.5</v>
          </cell>
          <cell r="B143">
            <v>91959</v>
          </cell>
          <cell r="C143" t="str">
            <v>SINAPI</v>
          </cell>
          <cell r="D143" t="str">
            <v>INTERRUPTOR SIMPLES (2 MÓDULOS), 10A/250V, INCLUINDO SUPORTE E PLACA - FORNECIMENTO E INSTALAÇÃO. AF_12/2015</v>
          </cell>
          <cell r="E143" t="str">
            <v>UN</v>
          </cell>
          <cell r="F143">
            <v>4</v>
          </cell>
          <cell r="G143">
            <v>33.200000000000003</v>
          </cell>
          <cell r="H143">
            <v>42.85</v>
          </cell>
          <cell r="I143">
            <v>171.4</v>
          </cell>
          <cell r="J143">
            <v>1.2999999999999999E-4</v>
          </cell>
        </row>
        <row r="144">
          <cell r="A144" t="str">
            <v>13.4</v>
          </cell>
          <cell r="B144"/>
          <cell r="C144"/>
          <cell r="D144" t="str">
            <v>LUMINÁRIAS</v>
          </cell>
          <cell r="E144"/>
          <cell r="F144"/>
          <cell r="G144"/>
          <cell r="H144"/>
          <cell r="I144">
            <v>11266.24</v>
          </cell>
          <cell r="J144">
            <v>8.6999999999999994E-3</v>
          </cell>
        </row>
        <row r="145">
          <cell r="A145" t="str">
            <v>13.4.1</v>
          </cell>
          <cell r="B145" t="str">
            <v>CP034</v>
          </cell>
          <cell r="C145" t="str">
            <v>Próprio</v>
          </cell>
          <cell r="D145" t="str">
            <v>LUMINÁRIA ARANDELA TIPO MEIA LUA, DE SOBREPOR, COM 1 LÂMPADA FLUORESCENTE - FORNECIMENTO E INSTALAÇÃO</v>
          </cell>
          <cell r="E145" t="str">
            <v>UN</v>
          </cell>
          <cell r="F145">
            <v>22</v>
          </cell>
          <cell r="G145">
            <v>75.040000000000006</v>
          </cell>
          <cell r="H145">
            <v>96.85</v>
          </cell>
          <cell r="I145">
            <v>2130.6999999999998</v>
          </cell>
          <cell r="J145">
            <v>1.65E-3</v>
          </cell>
        </row>
        <row r="146">
          <cell r="A146" t="str">
            <v>13.4.2</v>
          </cell>
          <cell r="B146" t="str">
            <v>CP018</v>
          </cell>
          <cell r="C146" t="str">
            <v>Próprio</v>
          </cell>
          <cell r="D146" t="str">
            <v>LUMINÁRIA TIPO PLAFON, DE SOBREPOR, COM 1 LÂMPADA LED DE 10 W - FORNECIMENTO E INSTALAÇÃO</v>
          </cell>
          <cell r="E146" t="str">
            <v>UN</v>
          </cell>
          <cell r="F146">
            <v>4</v>
          </cell>
          <cell r="G146">
            <v>43.34</v>
          </cell>
          <cell r="H146">
            <v>55.93</v>
          </cell>
          <cell r="I146">
            <v>223.72</v>
          </cell>
          <cell r="J146">
            <v>1.7000000000000001E-4</v>
          </cell>
        </row>
        <row r="147">
          <cell r="A147" t="str">
            <v>13.4.3</v>
          </cell>
          <cell r="B147" t="str">
            <v>CP033</v>
          </cell>
          <cell r="C147" t="str">
            <v>Próprio</v>
          </cell>
          <cell r="D147" t="str">
            <v>LUMINÁRIA TIPO PLAFON REDONDO COM VIDRO FOSCO, DE SOBREPOR, COM 1 LÂMPADA FLUORESCENTE DE 15 W, COM REATOR - FORNECIMENTO E INSTALAÇÃO</v>
          </cell>
          <cell r="E147" t="str">
            <v>UN</v>
          </cell>
          <cell r="F147">
            <v>74</v>
          </cell>
          <cell r="G147">
            <v>93.31</v>
          </cell>
          <cell r="H147">
            <v>120.43</v>
          </cell>
          <cell r="I147">
            <v>8911.82</v>
          </cell>
          <cell r="J147">
            <v>6.9100000000000003E-3</v>
          </cell>
        </row>
        <row r="148">
          <cell r="A148" t="str">
            <v>13.5</v>
          </cell>
          <cell r="B148"/>
          <cell r="C148"/>
          <cell r="D148" t="str">
            <v>ELETRODUTOS</v>
          </cell>
          <cell r="E148"/>
          <cell r="F148"/>
          <cell r="G148"/>
          <cell r="H148"/>
          <cell r="I148">
            <v>8310.7999999999993</v>
          </cell>
          <cell r="J148">
            <v>6.4000000000000003E-3</v>
          </cell>
        </row>
        <row r="149">
          <cell r="A149" t="str">
            <v>13.5.1</v>
          </cell>
          <cell r="B149">
            <v>91854</v>
          </cell>
          <cell r="C149" t="str">
            <v>SINAPI</v>
          </cell>
          <cell r="D149" t="str">
            <v>ELETRODUTO FLEXÍVEL CORRUGADO, PVC, DN 25 MM (3/4"), PARA CIRCUITOS TERMINAIS, INSTALADO EM PAREDE - FORNECIMENTO E INSTALAÇÃO. AF_12/2015</v>
          </cell>
          <cell r="E149" t="str">
            <v>M</v>
          </cell>
          <cell r="F149">
            <v>449.7</v>
          </cell>
          <cell r="G149">
            <v>6.93</v>
          </cell>
          <cell r="H149">
            <v>8.94</v>
          </cell>
          <cell r="I149">
            <v>4020.31</v>
          </cell>
          <cell r="J149">
            <v>3.1199999999999999E-3</v>
          </cell>
        </row>
        <row r="150">
          <cell r="A150" t="str">
            <v>13.5.2</v>
          </cell>
          <cell r="B150">
            <v>91846</v>
          </cell>
          <cell r="C150" t="str">
            <v>SINAPI</v>
          </cell>
          <cell r="D150" t="str">
            <v>ELETRODUTO FLEXÍVEL CORRUGADO, PVC, DN 32 MM (1"), PARA CIRCUITOS TERMINAIS, INSTALADO EM LAJE - FORNECIMENTO E INSTALAÇÃO. AF_12/2015</v>
          </cell>
          <cell r="E150" t="str">
            <v>M</v>
          </cell>
          <cell r="F150">
            <v>117.9</v>
          </cell>
          <cell r="G150">
            <v>7.45</v>
          </cell>
          <cell r="H150">
            <v>9.61</v>
          </cell>
          <cell r="I150">
            <v>1133.01</v>
          </cell>
          <cell r="J150">
            <v>8.8000000000000003E-4</v>
          </cell>
        </row>
        <row r="151">
          <cell r="A151" t="str">
            <v>13.5.3</v>
          </cell>
          <cell r="B151">
            <v>91867</v>
          </cell>
          <cell r="C151" t="str">
            <v>SINAPI</v>
          </cell>
          <cell r="D151" t="str">
            <v>ELETRODUTO RÍGIDO ROSCÁVEL, PVC, DN 25 MM (3/4"), PARA CIRCUITOS TERMINAIS, INSTALADO EM LAJE - FORNECIMENTO E INSTALAÇÃO. AF_12/2015</v>
          </cell>
          <cell r="E151" t="str">
            <v>M</v>
          </cell>
          <cell r="F151">
            <v>6</v>
          </cell>
          <cell r="G151">
            <v>7.38</v>
          </cell>
          <cell r="H151">
            <v>9.52</v>
          </cell>
          <cell r="I151">
            <v>57.12</v>
          </cell>
          <cell r="J151">
            <v>4.0000000000000003E-5</v>
          </cell>
        </row>
        <row r="152">
          <cell r="A152" t="str">
            <v>13.5.4</v>
          </cell>
          <cell r="B152">
            <v>91868</v>
          </cell>
          <cell r="C152" t="str">
            <v>SINAPI</v>
          </cell>
          <cell r="D152" t="str">
            <v>ELETRODUTO RÍGIDO ROSCÁVEL, PVC, DN 32 MM (1"), PARA CIRCUITOS TERMINAIS, INSTALADO EM LAJE - FORNECIMENTO E INSTALAÇÃO. AF_12/2015</v>
          </cell>
          <cell r="E152" t="str">
            <v>M</v>
          </cell>
          <cell r="F152">
            <v>18.7</v>
          </cell>
          <cell r="G152">
            <v>10.39</v>
          </cell>
          <cell r="H152">
            <v>13.41</v>
          </cell>
          <cell r="I152">
            <v>250.76</v>
          </cell>
          <cell r="J152">
            <v>1.9000000000000001E-4</v>
          </cell>
        </row>
        <row r="153">
          <cell r="A153" t="str">
            <v>13.5.5</v>
          </cell>
          <cell r="B153">
            <v>91873</v>
          </cell>
          <cell r="C153" t="str">
            <v>SINAPI</v>
          </cell>
          <cell r="D153" t="str">
            <v>ELETRODUTO RÍGIDO ROSCÁVEL, PVC, DN 40 MM (1 1/4"), PARA CIRCUITOS TERMINAIS, INSTALADO EM PAREDE - FORNECIMENTO E INSTALAÇÃO. AF_12/2015</v>
          </cell>
          <cell r="E153" t="str">
            <v>M</v>
          </cell>
          <cell r="F153">
            <v>7.1</v>
          </cell>
          <cell r="G153">
            <v>15.62</v>
          </cell>
          <cell r="H153">
            <v>20.16</v>
          </cell>
          <cell r="I153">
            <v>143.13</v>
          </cell>
          <cell r="J153">
            <v>1.1E-4</v>
          </cell>
        </row>
        <row r="154">
          <cell r="A154" t="str">
            <v>13.5.6</v>
          </cell>
          <cell r="B154">
            <v>93008</v>
          </cell>
          <cell r="C154" t="str">
            <v>SINAPI</v>
          </cell>
          <cell r="D154" t="str">
            <v>ELETRODUTO RÍGIDO ROSCÁVEL, PVC, DN 50 MM (1 1/2") - FORNECIMENTO E INSTALAÇÃO. AF_12/2015</v>
          </cell>
          <cell r="E154" t="str">
            <v>M</v>
          </cell>
          <cell r="F154">
            <v>82.1</v>
          </cell>
          <cell r="G154">
            <v>13.44</v>
          </cell>
          <cell r="H154">
            <v>17.34</v>
          </cell>
          <cell r="I154">
            <v>1423.61</v>
          </cell>
          <cell r="J154">
            <v>1.1000000000000001E-3</v>
          </cell>
        </row>
        <row r="155">
          <cell r="A155" t="str">
            <v>13.5.7</v>
          </cell>
          <cell r="B155">
            <v>93009</v>
          </cell>
          <cell r="C155" t="str">
            <v>SINAPI</v>
          </cell>
          <cell r="D155" t="str">
            <v>ELETRODUTO RÍGIDO ROSCÁVEL, PVC, DN 60 MM (2") - FORNECIMENTO E INSTALAÇÃO. AF_12/2015</v>
          </cell>
          <cell r="E155" t="str">
            <v>M</v>
          </cell>
          <cell r="F155">
            <v>6.7</v>
          </cell>
          <cell r="G155">
            <v>20.14</v>
          </cell>
          <cell r="H155">
            <v>25.99</v>
          </cell>
          <cell r="I155">
            <v>174.13</v>
          </cell>
          <cell r="J155">
            <v>1.3999999999999999E-4</v>
          </cell>
        </row>
        <row r="156">
          <cell r="A156" t="str">
            <v>13.5.8</v>
          </cell>
          <cell r="B156">
            <v>93010</v>
          </cell>
          <cell r="C156" t="str">
            <v>SINAPI</v>
          </cell>
          <cell r="D156" t="str">
            <v>ELETRODUTO RÍGIDO ROSCÁVEL, PVC, DN 75 MM (2 1/2") - FORNECIMENTO E INSTALAÇÃO. AF_12/2015</v>
          </cell>
          <cell r="E156" t="str">
            <v>M</v>
          </cell>
          <cell r="F156">
            <v>17.3</v>
          </cell>
          <cell r="G156">
            <v>28.23</v>
          </cell>
          <cell r="H156">
            <v>36.43</v>
          </cell>
          <cell r="I156">
            <v>630.23</v>
          </cell>
          <cell r="J156">
            <v>4.8999999999999998E-4</v>
          </cell>
        </row>
        <row r="157">
          <cell r="A157" t="str">
            <v>13.5.9</v>
          </cell>
          <cell r="B157">
            <v>93011</v>
          </cell>
          <cell r="C157" t="str">
            <v>SINAPI</v>
          </cell>
          <cell r="D157" t="str">
            <v>ELETRODUTO RÍGIDO ROSCÁVEL, PVC, DN 85 MM (3") - FORNECIMENTO E INSTALAÇÃO. AF_12/2015</v>
          </cell>
          <cell r="E157" t="str">
            <v>M</v>
          </cell>
          <cell r="F157">
            <v>10.7</v>
          </cell>
          <cell r="G157">
            <v>34.65</v>
          </cell>
          <cell r="H157">
            <v>44.72</v>
          </cell>
          <cell r="I157">
            <v>478.5</v>
          </cell>
          <cell r="J157">
            <v>3.6999999999999999E-4</v>
          </cell>
        </row>
        <row r="158">
          <cell r="A158" t="str">
            <v>13.6</v>
          </cell>
          <cell r="B158"/>
          <cell r="C158"/>
          <cell r="D158" t="str">
            <v>CABOS</v>
          </cell>
          <cell r="E158"/>
          <cell r="F158"/>
          <cell r="G158"/>
          <cell r="H158"/>
          <cell r="I158">
            <v>42768.5</v>
          </cell>
          <cell r="J158">
            <v>3.32E-2</v>
          </cell>
        </row>
        <row r="159">
          <cell r="A159" t="str">
            <v>13.6.1</v>
          </cell>
          <cell r="B159">
            <v>91927</v>
          </cell>
          <cell r="C159" t="str">
            <v>SINAPI</v>
          </cell>
          <cell r="D159" t="str">
            <v>CABO DE COBRE FLEXÍVEL ISOLADO, 2,5 MM², ANTI-CHAMA 0,6/1,0 KV, PARA CIRCUITOS TERMINAIS - FORNECIMENTO E INSTALAÇÃO. AF_12/2015</v>
          </cell>
          <cell r="E159" t="str">
            <v>M</v>
          </cell>
          <cell r="F159">
            <v>3038.6</v>
          </cell>
          <cell r="G159">
            <v>5.52</v>
          </cell>
          <cell r="H159">
            <v>7.12</v>
          </cell>
          <cell r="I159">
            <v>21634.83</v>
          </cell>
          <cell r="J159">
            <v>1.678E-2</v>
          </cell>
        </row>
        <row r="160">
          <cell r="A160" t="str">
            <v>13.6.2</v>
          </cell>
          <cell r="B160">
            <v>91929</v>
          </cell>
          <cell r="C160" t="str">
            <v>SINAPI</v>
          </cell>
          <cell r="D160" t="str">
            <v>CABO DE COBRE FLEXÍVEL ISOLADO, 4 MM², ANTI-CHAMA 0,6/1,0 KV, PARA CIRCUITOS TERMINAIS - FORNECIMENTO E INSTALAÇÃO. AF_12/2015</v>
          </cell>
          <cell r="E160" t="str">
            <v>M</v>
          </cell>
          <cell r="F160">
            <v>189.2</v>
          </cell>
          <cell r="G160">
            <v>7.81</v>
          </cell>
          <cell r="H160">
            <v>10.08</v>
          </cell>
          <cell r="I160">
            <v>1907.13</v>
          </cell>
          <cell r="J160">
            <v>1.48E-3</v>
          </cell>
        </row>
        <row r="161">
          <cell r="A161" t="str">
            <v>13.6.3</v>
          </cell>
          <cell r="B161">
            <v>91931</v>
          </cell>
          <cell r="C161" t="str">
            <v>SINAPI</v>
          </cell>
          <cell r="D161" t="str">
            <v>CABO DE COBRE FLEXÍVEL ISOLADO, 6 MM², ANTI-CHAMA 0,6/1,0 KV, PARA CIRCUITOS TERMINAIS - FORNECIMENTO E INSTALAÇÃO. AF_12/2015</v>
          </cell>
          <cell r="E161" t="str">
            <v>M</v>
          </cell>
          <cell r="F161">
            <v>115.1</v>
          </cell>
          <cell r="G161">
            <v>10.58</v>
          </cell>
          <cell r="H161">
            <v>13.65</v>
          </cell>
          <cell r="I161">
            <v>1571.11</v>
          </cell>
          <cell r="J161">
            <v>1.2199999999999999E-3</v>
          </cell>
        </row>
        <row r="162">
          <cell r="A162" t="str">
            <v>13.6.4</v>
          </cell>
          <cell r="B162">
            <v>91933</v>
          </cell>
          <cell r="C162" t="str">
            <v>SINAPI</v>
          </cell>
          <cell r="D162" t="str">
            <v>CABO DE COBRE FLEXÍVEL ISOLADO, 10 MM², ANTI-CHAMA 0,6/1,0 KV, PARA CIRCUITOS TERMINAIS - FORNECIMENTO E INSTALAÇÃO. AF_12/2015</v>
          </cell>
          <cell r="E162" t="str">
            <v>M</v>
          </cell>
          <cell r="F162">
            <v>119.5</v>
          </cell>
          <cell r="G162">
            <v>16.72</v>
          </cell>
          <cell r="H162">
            <v>21.58</v>
          </cell>
          <cell r="I162">
            <v>2578.81</v>
          </cell>
          <cell r="J162">
            <v>2E-3</v>
          </cell>
        </row>
        <row r="163">
          <cell r="A163" t="str">
            <v>13.6.5</v>
          </cell>
          <cell r="B163">
            <v>91935</v>
          </cell>
          <cell r="C163" t="str">
            <v>SINAPI</v>
          </cell>
          <cell r="D163" t="str">
            <v>CABO DE COBRE FLEXÍVEL ISOLADO, 16 MM², ANTI-CHAMA 0,6/1,0 KV, PARA CIRCUITOS TERMINAIS - FORNECIMENTO E INSTALAÇÃO. AF_12/2015</v>
          </cell>
          <cell r="E163" t="str">
            <v>M</v>
          </cell>
          <cell r="F163">
            <v>49.1</v>
          </cell>
          <cell r="G163">
            <v>25.52</v>
          </cell>
          <cell r="H163">
            <v>32.93</v>
          </cell>
          <cell r="I163">
            <v>1616.86</v>
          </cell>
          <cell r="J163">
            <v>1.25E-3</v>
          </cell>
        </row>
        <row r="164">
          <cell r="A164" t="str">
            <v>13.6.6</v>
          </cell>
          <cell r="B164">
            <v>92984</v>
          </cell>
          <cell r="C164" t="str">
            <v>SINAPI</v>
          </cell>
          <cell r="D164" t="str">
            <v>CABO DE COBRE FLEXÍVEL ISOLADO, 25 MM², ANTI-CHAMA 0,6/1,0 KV, PARA DISTRIBUIÇÃO - FORNECIMENTO E INSTALAÇÃO. AF_12/2015</v>
          </cell>
          <cell r="E164" t="str">
            <v>M</v>
          </cell>
          <cell r="F164">
            <v>97.4</v>
          </cell>
          <cell r="G164">
            <v>30.23</v>
          </cell>
          <cell r="H164">
            <v>39.01</v>
          </cell>
          <cell r="I164">
            <v>3799.57</v>
          </cell>
          <cell r="J164">
            <v>2.9499999999999999E-3</v>
          </cell>
        </row>
        <row r="165">
          <cell r="A165" t="str">
            <v>13.6.7</v>
          </cell>
          <cell r="B165">
            <v>101563</v>
          </cell>
          <cell r="C165" t="str">
            <v>SINAPI</v>
          </cell>
          <cell r="D165" t="str">
            <v>CABO DE COBRE FLEXÍVEL ISOLADO, 35 MM², 0,6/1,0 KV, PARA REDE AÉREA DE DISTRIBUIÇÃO DE ENERGIA ELÉTRICA DE BAIXA TENSÃO - FORNECIMENTO E INSTALAÇÃO. AF_07/2020</v>
          </cell>
          <cell r="E165" t="str">
            <v>M</v>
          </cell>
          <cell r="F165">
            <v>99</v>
          </cell>
          <cell r="G165">
            <v>39.659999999999997</v>
          </cell>
          <cell r="H165">
            <v>51.18</v>
          </cell>
          <cell r="I165">
            <v>5066.82</v>
          </cell>
          <cell r="J165">
            <v>3.9300000000000003E-3</v>
          </cell>
        </row>
        <row r="166">
          <cell r="A166" t="str">
            <v>13.6.8</v>
          </cell>
          <cell r="B166">
            <v>101564</v>
          </cell>
          <cell r="C166" t="str">
            <v>SINAPI</v>
          </cell>
          <cell r="D166" t="str">
            <v>CABO DE COBRE FLEXÍVEL ISOLADO, 50 MM², 0,6/1,0 KV, PARA REDE AÉREA DE DISTRIBUIÇÃO DE ENERGIA ELÉTRICA DE BAIXA TENSÃO - FORNECIMENTO E INSTALAÇÃO. AF_07/2020</v>
          </cell>
          <cell r="E166" t="str">
            <v>M</v>
          </cell>
          <cell r="F166">
            <v>7.6</v>
          </cell>
          <cell r="G166">
            <v>56.51</v>
          </cell>
          <cell r="H166">
            <v>72.930000000000007</v>
          </cell>
          <cell r="I166">
            <v>554.26</v>
          </cell>
          <cell r="J166">
            <v>4.2999999999999999E-4</v>
          </cell>
        </row>
        <row r="167">
          <cell r="A167" t="str">
            <v>13.6.9</v>
          </cell>
          <cell r="B167">
            <v>101567</v>
          </cell>
          <cell r="C167" t="str">
            <v>SINAPI</v>
          </cell>
          <cell r="D167" t="str">
            <v>CABO DE COBRE FLEXÍVEL ISOLADO, 95 MM², 0,6/1,0 KV, PARA REDE AÉREA DE DISTRIBUIÇÃO DE ENERGIA ELÉTRICA DE BAIXA TENSÃO - FORNECIMENTO E INSTALAÇÃO. AF_07/2020</v>
          </cell>
          <cell r="E167" t="str">
            <v>M</v>
          </cell>
          <cell r="F167">
            <v>30.1</v>
          </cell>
          <cell r="G167">
            <v>103.97</v>
          </cell>
          <cell r="H167">
            <v>134.19</v>
          </cell>
          <cell r="I167">
            <v>4039.11</v>
          </cell>
          <cell r="J167">
            <v>3.13E-3</v>
          </cell>
        </row>
        <row r="168">
          <cell r="A168" t="str">
            <v>13.7</v>
          </cell>
          <cell r="B168"/>
          <cell r="C168"/>
          <cell r="D168" t="str">
            <v>DIVERSOS</v>
          </cell>
          <cell r="E168"/>
          <cell r="F168"/>
          <cell r="G168"/>
          <cell r="H168"/>
          <cell r="I168">
            <v>4288.68</v>
          </cell>
          <cell r="J168">
            <v>3.3E-3</v>
          </cell>
        </row>
        <row r="169">
          <cell r="A169" t="str">
            <v>13.7.1</v>
          </cell>
          <cell r="B169">
            <v>170879</v>
          </cell>
          <cell r="C169" t="str">
            <v>SEDOP</v>
          </cell>
          <cell r="D169" t="str">
            <v>Caixa de passagem em aluminio 300x300x130mm</v>
          </cell>
          <cell r="E169" t="str">
            <v>UN</v>
          </cell>
          <cell r="F169">
            <v>3</v>
          </cell>
          <cell r="G169">
            <v>260.27999999999997</v>
          </cell>
          <cell r="H169">
            <v>335.94</v>
          </cell>
          <cell r="I169">
            <v>1007.82</v>
          </cell>
          <cell r="J169">
            <v>7.7999999999999999E-4</v>
          </cell>
        </row>
        <row r="170">
          <cell r="A170" t="str">
            <v>13.7.2</v>
          </cell>
          <cell r="B170">
            <v>91940</v>
          </cell>
          <cell r="C170" t="str">
            <v>SINAPI</v>
          </cell>
          <cell r="D170" t="str">
            <v>CAIXA RETANGULAR 4" X 2" MÉDIA (1,30 M DO PISO), PVC, INSTALADA EM PAREDE - FORNECIMENTO E INSTALAÇÃO. AF_12/2015</v>
          </cell>
          <cell r="E170" t="str">
            <v>UN</v>
          </cell>
          <cell r="F170">
            <v>126</v>
          </cell>
          <cell r="G170">
            <v>11.21</v>
          </cell>
          <cell r="H170">
            <v>14.46</v>
          </cell>
          <cell r="I170">
            <v>1821.96</v>
          </cell>
          <cell r="J170">
            <v>1.41E-3</v>
          </cell>
        </row>
        <row r="171">
          <cell r="A171" t="str">
            <v>13.7.3</v>
          </cell>
          <cell r="B171">
            <v>91937</v>
          </cell>
          <cell r="C171" t="str">
            <v>SINAPI</v>
          </cell>
          <cell r="D171" t="str">
            <v>CAIXA OCTOGONAL 3" X 3", PVC, INSTALADA EM LAJE - FORNECIMENTO E INSTALAÇÃO. AF_12/2015</v>
          </cell>
          <cell r="E171" t="str">
            <v>UN</v>
          </cell>
          <cell r="F171">
            <v>100</v>
          </cell>
          <cell r="G171">
            <v>8.92</v>
          </cell>
          <cell r="H171">
            <v>11.51</v>
          </cell>
          <cell r="I171">
            <v>1151</v>
          </cell>
          <cell r="J171">
            <v>8.8999999999999995E-4</v>
          </cell>
        </row>
        <row r="172">
          <cell r="A172" t="str">
            <v>13.7.4</v>
          </cell>
          <cell r="B172">
            <v>92868</v>
          </cell>
          <cell r="C172" t="str">
            <v>SINAPI</v>
          </cell>
          <cell r="D172" t="str">
            <v>CAIXA RETANGULAR 4" X 2" MÉDIA (1,30 M DO PISO), METÁLICA, INSTALADA EM PAREDE - FORNECIMENTO E INSTALAÇÃO. AF_12/2015</v>
          </cell>
          <cell r="E172" t="str">
            <v>UN</v>
          </cell>
          <cell r="F172">
            <v>4</v>
          </cell>
          <cell r="G172">
            <v>10.6</v>
          </cell>
          <cell r="H172">
            <v>13.68</v>
          </cell>
          <cell r="I172">
            <v>54.72</v>
          </cell>
          <cell r="J172">
            <v>4.0000000000000003E-5</v>
          </cell>
        </row>
        <row r="173">
          <cell r="A173" t="str">
            <v>13.7.5</v>
          </cell>
          <cell r="B173">
            <v>91876</v>
          </cell>
          <cell r="C173" t="str">
            <v>SINAPI</v>
          </cell>
          <cell r="D173" t="str">
            <v>LUVA PARA ELETRODUTO, PVC, ROSCÁVEL, DN 32 MM (1"), PARA CIRCUITOS TERMINAIS, INSTALADA EM FORRO - FORNECIMENTO E INSTALAÇÃO. AF_12/2015</v>
          </cell>
          <cell r="E173" t="str">
            <v>UN</v>
          </cell>
          <cell r="F173">
            <v>3</v>
          </cell>
          <cell r="G173">
            <v>6.31</v>
          </cell>
          <cell r="H173">
            <v>8.14</v>
          </cell>
          <cell r="I173">
            <v>24.42</v>
          </cell>
          <cell r="J173">
            <v>2.0000000000000002E-5</v>
          </cell>
        </row>
        <row r="174">
          <cell r="A174" t="str">
            <v>13.7.6</v>
          </cell>
          <cell r="B174">
            <v>91877</v>
          </cell>
          <cell r="C174" t="str">
            <v>SINAPI</v>
          </cell>
          <cell r="D174" t="str">
            <v>LUVA PARA ELETRODUTO, PVC, ROSCÁVEL, DN 40 MM (1 1/4"), PARA CIRCUITOS TERMINAIS, INSTALADA EM FORRO - FORNECIMENTO E INSTALAÇÃO. AF_12/2015</v>
          </cell>
          <cell r="E174" t="str">
            <v>UN</v>
          </cell>
          <cell r="F174">
            <v>2</v>
          </cell>
          <cell r="G174">
            <v>8.4499999999999993</v>
          </cell>
          <cell r="H174">
            <v>10.9</v>
          </cell>
          <cell r="I174">
            <v>21.8</v>
          </cell>
          <cell r="J174">
            <v>2.0000000000000002E-5</v>
          </cell>
        </row>
        <row r="175">
          <cell r="A175" t="str">
            <v>13.7.7</v>
          </cell>
          <cell r="B175">
            <v>93013</v>
          </cell>
          <cell r="C175" t="str">
            <v>SINAPI</v>
          </cell>
          <cell r="D175" t="str">
            <v>LUVA PARA ELETRODUTO, PVC, ROSCÁVEL, DN 50 MM (1 1/2") - FORNECIMENTO E INSTALAÇÃO. AF_12/2015</v>
          </cell>
          <cell r="E175" t="str">
            <v>UN</v>
          </cell>
          <cell r="F175">
            <v>2</v>
          </cell>
          <cell r="G175">
            <v>11.01</v>
          </cell>
          <cell r="H175">
            <v>14.21</v>
          </cell>
          <cell r="I175">
            <v>28.42</v>
          </cell>
          <cell r="J175">
            <v>2.0000000000000002E-5</v>
          </cell>
        </row>
        <row r="176">
          <cell r="A176" t="str">
            <v>13.7.8</v>
          </cell>
          <cell r="B176">
            <v>93015</v>
          </cell>
          <cell r="C176" t="str">
            <v>SINAPI</v>
          </cell>
          <cell r="D176" t="str">
            <v>LUVA PARA ELETRODUTO, PVC, ROSCÁVEL, DN 75 MM (2 1/2") - FORNECIMENTO E INSTALAÇÃO. AF_12/2015</v>
          </cell>
          <cell r="E176" t="str">
            <v>UN</v>
          </cell>
          <cell r="F176">
            <v>4</v>
          </cell>
          <cell r="G176">
            <v>21.42</v>
          </cell>
          <cell r="H176">
            <v>27.64</v>
          </cell>
          <cell r="I176">
            <v>110.56</v>
          </cell>
          <cell r="J176">
            <v>9.0000000000000006E-5</v>
          </cell>
        </row>
        <row r="177">
          <cell r="A177" t="str">
            <v>13.7.9</v>
          </cell>
          <cell r="B177">
            <v>93016</v>
          </cell>
          <cell r="C177" t="str">
            <v>SINAPI</v>
          </cell>
          <cell r="D177" t="str">
            <v>LUVA PARA ELETRODUTO, PVC, ROSCÁVEL, DN 85 MM (3") - FORNECIMENTO E INSTALAÇÃO. AF_12/2015</v>
          </cell>
          <cell r="E177" t="str">
            <v>UN</v>
          </cell>
          <cell r="F177">
            <v>2</v>
          </cell>
          <cell r="G177">
            <v>26.34</v>
          </cell>
          <cell r="H177">
            <v>33.99</v>
          </cell>
          <cell r="I177">
            <v>67.98</v>
          </cell>
          <cell r="J177">
            <v>5.0000000000000002E-5</v>
          </cell>
        </row>
        <row r="178">
          <cell r="A178" t="str">
            <v>13.8</v>
          </cell>
          <cell r="B178"/>
          <cell r="C178"/>
          <cell r="D178" t="str">
            <v>PONTOS</v>
          </cell>
          <cell r="E178"/>
          <cell r="F178"/>
          <cell r="G178"/>
          <cell r="H178"/>
          <cell r="I178">
            <v>8685.34</v>
          </cell>
          <cell r="J178">
            <v>6.7000000000000002E-3</v>
          </cell>
        </row>
        <row r="179">
          <cell r="A179" t="str">
            <v>13.8.1</v>
          </cell>
          <cell r="B179">
            <v>170683</v>
          </cell>
          <cell r="C179" t="str">
            <v>SEDOP</v>
          </cell>
          <cell r="D179" t="str">
            <v>Ponto de logica - UTP (incl. eletr.,cabo e conector)</v>
          </cell>
          <cell r="E179" t="str">
            <v>PT</v>
          </cell>
          <cell r="F179">
            <v>13</v>
          </cell>
          <cell r="G179">
            <v>426.19</v>
          </cell>
          <cell r="H179">
            <v>550.08000000000004</v>
          </cell>
          <cell r="I179">
            <v>7151.04</v>
          </cell>
          <cell r="J179">
            <v>5.5500000000000002E-3</v>
          </cell>
        </row>
        <row r="180">
          <cell r="A180" t="str">
            <v>13.8.2</v>
          </cell>
          <cell r="B180">
            <v>210083</v>
          </cell>
          <cell r="C180" t="str">
            <v>SEDOP</v>
          </cell>
          <cell r="D180" t="str">
            <v>Ponto p/ telefone(c/eletroduto,cx.,fiaçao e tomada)</v>
          </cell>
          <cell r="E180" t="str">
            <v>PT</v>
          </cell>
          <cell r="F180">
            <v>10</v>
          </cell>
          <cell r="G180">
            <v>118.88</v>
          </cell>
          <cell r="H180">
            <v>153.43</v>
          </cell>
          <cell r="I180">
            <v>1534.3</v>
          </cell>
          <cell r="J180">
            <v>1.1900000000000001E-3</v>
          </cell>
        </row>
        <row r="181">
          <cell r="A181">
            <v>14</v>
          </cell>
          <cell r="B181"/>
          <cell r="C181"/>
          <cell r="D181" t="str">
            <v>INSTALAÇÕES HIDROSSANITÁRIAS</v>
          </cell>
          <cell r="E181"/>
          <cell r="F181"/>
          <cell r="G181"/>
          <cell r="H181"/>
          <cell r="I181">
            <v>108175.05</v>
          </cell>
          <cell r="J181">
            <v>8.3900000000000002E-2</v>
          </cell>
        </row>
        <row r="182">
          <cell r="A182" t="str">
            <v>14.1</v>
          </cell>
          <cell r="B182"/>
          <cell r="C182"/>
          <cell r="D182" t="str">
            <v>LOUÇAS E APARELHOS SANITÁRIOS</v>
          </cell>
          <cell r="E182"/>
          <cell r="F182"/>
          <cell r="G182"/>
          <cell r="H182"/>
          <cell r="I182">
            <v>37636.49</v>
          </cell>
          <cell r="J182">
            <v>2.92E-2</v>
          </cell>
        </row>
        <row r="183">
          <cell r="A183" t="str">
            <v>14.1.1</v>
          </cell>
          <cell r="B183">
            <v>86888</v>
          </cell>
          <cell r="C183" t="str">
            <v>SINAPI</v>
          </cell>
          <cell r="D183" t="str">
            <v>VASO SANITÁRIO SIFONADO COM CAIXA ACOPLADA LOUÇA BRANCA - FORNECIMENTO E INSTALAÇÃO. AF_01/2020</v>
          </cell>
          <cell r="E183" t="str">
            <v>UN</v>
          </cell>
          <cell r="F183">
            <v>4</v>
          </cell>
          <cell r="G183">
            <v>312.74</v>
          </cell>
          <cell r="H183">
            <v>403.65</v>
          </cell>
          <cell r="I183">
            <v>1614.6</v>
          </cell>
          <cell r="J183">
            <v>1.25E-3</v>
          </cell>
        </row>
        <row r="184">
          <cell r="A184" t="str">
            <v>14.1.2</v>
          </cell>
          <cell r="B184">
            <v>190303</v>
          </cell>
          <cell r="C184" t="str">
            <v>SEDOP</v>
          </cell>
          <cell r="D184" t="str">
            <v>Bacia sifonada  - PNE</v>
          </cell>
          <cell r="E184" t="str">
            <v>UN</v>
          </cell>
          <cell r="F184">
            <v>3</v>
          </cell>
          <cell r="G184">
            <v>1812.21</v>
          </cell>
          <cell r="H184">
            <v>2339.0100000000002</v>
          </cell>
          <cell r="I184">
            <v>7017.03</v>
          </cell>
          <cell r="J184">
            <v>5.4400000000000004E-3</v>
          </cell>
        </row>
        <row r="185">
          <cell r="A185" t="str">
            <v>14.1.3</v>
          </cell>
          <cell r="B185">
            <v>190797</v>
          </cell>
          <cell r="C185" t="str">
            <v>SEDOP</v>
          </cell>
          <cell r="D185" t="str">
            <v>Porta papel higiênico - Polipropileno</v>
          </cell>
          <cell r="E185" t="str">
            <v>UN</v>
          </cell>
          <cell r="F185">
            <v>7</v>
          </cell>
          <cell r="G185">
            <v>73.5</v>
          </cell>
          <cell r="H185">
            <v>94.86</v>
          </cell>
          <cell r="I185">
            <v>664.02</v>
          </cell>
          <cell r="J185">
            <v>5.1999999999999995E-4</v>
          </cell>
        </row>
        <row r="186">
          <cell r="A186" t="str">
            <v>14.1.4</v>
          </cell>
          <cell r="B186">
            <v>86939</v>
          </cell>
          <cell r="C186" t="str">
            <v>SINAPI</v>
          </cell>
          <cell r="D186" t="str">
            <v>LAVATÓRIO LOUÇA BRANCA COM COLUNA, *44 X 35,5* CM, PADRÃO POPULAR, INCLUSO SIFÃO FLEXÍVEL EM PVC, VÁLVULA E ENGATE FLEXÍVEL 30CM EM PLÁSTICO E COM TORNEIRA CROMADA PADRÃO POPULAR - FORNECIMENTO E INSTALAÇÃO. AF_01/2020</v>
          </cell>
          <cell r="E186" t="str">
            <v>UN</v>
          </cell>
          <cell r="F186">
            <v>10</v>
          </cell>
          <cell r="G186">
            <v>275.45999999999998</v>
          </cell>
          <cell r="H186">
            <v>355.53</v>
          </cell>
          <cell r="I186">
            <v>3555.3</v>
          </cell>
          <cell r="J186">
            <v>2.7599999999999999E-3</v>
          </cell>
        </row>
        <row r="187">
          <cell r="A187" t="str">
            <v>14.1.5</v>
          </cell>
          <cell r="B187">
            <v>190238</v>
          </cell>
          <cell r="C187" t="str">
            <v>SEDOP</v>
          </cell>
          <cell r="D187" t="str">
            <v>Pia 01 cuba em aço inox c/torn.,sifao e valv.(1,50m)</v>
          </cell>
          <cell r="E187" t="str">
            <v>UN</v>
          </cell>
          <cell r="F187">
            <v>8</v>
          </cell>
          <cell r="G187">
            <v>679.47</v>
          </cell>
          <cell r="H187">
            <v>876.99</v>
          </cell>
          <cell r="I187">
            <v>7015.92</v>
          </cell>
          <cell r="J187">
            <v>5.4400000000000004E-3</v>
          </cell>
        </row>
        <row r="188">
          <cell r="A188" t="str">
            <v>14.1.6</v>
          </cell>
          <cell r="B188">
            <v>190304</v>
          </cell>
          <cell r="C188" t="str">
            <v>SEDOP</v>
          </cell>
          <cell r="D188" t="str">
            <v>Lavatório de louça s/ coluna (incl. torn.sifão e válvula )-PNE</v>
          </cell>
          <cell r="E188" t="str">
            <v>UN</v>
          </cell>
          <cell r="F188">
            <v>3</v>
          </cell>
          <cell r="G188">
            <v>814.4</v>
          </cell>
          <cell r="H188">
            <v>1051.1400000000001</v>
          </cell>
          <cell r="I188">
            <v>3153.42</v>
          </cell>
          <cell r="J188">
            <v>2.4499999999999999E-3</v>
          </cell>
        </row>
        <row r="189">
          <cell r="A189" t="str">
            <v>14.1.7</v>
          </cell>
          <cell r="B189">
            <v>190848</v>
          </cell>
          <cell r="C189" t="str">
            <v>SEDOP</v>
          </cell>
          <cell r="D189" t="str">
            <v>Saboneteira para sabão líquido (vidro+inox) - móvel</v>
          </cell>
          <cell r="E189" t="str">
            <v>UN</v>
          </cell>
          <cell r="F189">
            <v>21</v>
          </cell>
          <cell r="G189">
            <v>45.14</v>
          </cell>
          <cell r="H189">
            <v>58.26</v>
          </cell>
          <cell r="I189">
            <v>1223.46</v>
          </cell>
          <cell r="J189">
            <v>9.5E-4</v>
          </cell>
        </row>
        <row r="190">
          <cell r="A190" t="str">
            <v>14.1.8</v>
          </cell>
          <cell r="B190">
            <v>190529</v>
          </cell>
          <cell r="C190" t="str">
            <v>SEDOP</v>
          </cell>
          <cell r="D190" t="str">
            <v>Bebedouro aço inox c/4 torneiras e filtro (det.5)</v>
          </cell>
          <cell r="E190" t="str">
            <v>UN</v>
          </cell>
          <cell r="F190">
            <v>1</v>
          </cell>
          <cell r="G190">
            <v>3551.91</v>
          </cell>
          <cell r="H190">
            <v>4584.45</v>
          </cell>
          <cell r="I190">
            <v>4584.45</v>
          </cell>
          <cell r="J190">
            <v>3.5599999999999998E-3</v>
          </cell>
        </row>
        <row r="191">
          <cell r="A191" t="str">
            <v>14.1.9</v>
          </cell>
          <cell r="B191">
            <v>190084</v>
          </cell>
          <cell r="C191" t="str">
            <v>SEDOP</v>
          </cell>
          <cell r="D191" t="str">
            <v>Porta-toalha em louça - tubular</v>
          </cell>
          <cell r="E191" t="str">
            <v>UN</v>
          </cell>
          <cell r="F191">
            <v>21</v>
          </cell>
          <cell r="G191">
            <v>56.35</v>
          </cell>
          <cell r="H191">
            <v>72.73</v>
          </cell>
          <cell r="I191">
            <v>1527.33</v>
          </cell>
          <cell r="J191">
            <v>1.1800000000000001E-3</v>
          </cell>
        </row>
        <row r="192">
          <cell r="A192" t="str">
            <v>14.1.10</v>
          </cell>
          <cell r="B192">
            <v>190716</v>
          </cell>
          <cell r="C192" t="str">
            <v>SEDOP</v>
          </cell>
          <cell r="D192" t="str">
            <v>Barra em aço inox (PNE)</v>
          </cell>
          <cell r="E192" t="str">
            <v>M</v>
          </cell>
          <cell r="F192">
            <v>12</v>
          </cell>
          <cell r="G192">
            <v>280.93</v>
          </cell>
          <cell r="H192">
            <v>362.59</v>
          </cell>
          <cell r="I192">
            <v>4351.08</v>
          </cell>
          <cell r="J192">
            <v>3.3700000000000002E-3</v>
          </cell>
        </row>
        <row r="193">
          <cell r="A193" t="str">
            <v>14.1.11</v>
          </cell>
          <cell r="B193">
            <v>190097</v>
          </cell>
          <cell r="C193" t="str">
            <v>SEDOP</v>
          </cell>
          <cell r="D193" t="str">
            <v>Torneira cromada de 1/2" p/ jardim</v>
          </cell>
          <cell r="E193" t="str">
            <v>UN</v>
          </cell>
          <cell r="F193">
            <v>4</v>
          </cell>
          <cell r="G193">
            <v>69.599999999999994</v>
          </cell>
          <cell r="H193">
            <v>89.83</v>
          </cell>
          <cell r="I193">
            <v>359.32</v>
          </cell>
          <cell r="J193">
            <v>2.7999999999999998E-4</v>
          </cell>
        </row>
        <row r="194">
          <cell r="A194" t="str">
            <v>14.1.12</v>
          </cell>
          <cell r="B194">
            <v>100860</v>
          </cell>
          <cell r="C194" t="str">
            <v>SINAPI</v>
          </cell>
          <cell r="D194" t="str">
            <v>CHUVEIRO ELÉTRICO COMUM CORPO PLÁSTICO, TIPO DUCHA  FORNECIMENTO E INSTALAÇÃO. AF_01/2020</v>
          </cell>
          <cell r="E194" t="str">
            <v>UN</v>
          </cell>
          <cell r="F194">
            <v>5</v>
          </cell>
          <cell r="G194">
            <v>82.38</v>
          </cell>
          <cell r="H194">
            <v>106.32</v>
          </cell>
          <cell r="I194">
            <v>531.6</v>
          </cell>
          <cell r="J194">
            <v>4.0999999999999999E-4</v>
          </cell>
        </row>
        <row r="195">
          <cell r="A195" t="str">
            <v>14.1.13</v>
          </cell>
          <cell r="B195">
            <v>190691</v>
          </cell>
          <cell r="C195" t="str">
            <v>SEDOP</v>
          </cell>
          <cell r="D195" t="str">
            <v>Ducha higienica cromada</v>
          </cell>
          <cell r="E195" t="str">
            <v>UN</v>
          </cell>
          <cell r="F195">
            <v>7</v>
          </cell>
          <cell r="G195">
            <v>149.47999999999999</v>
          </cell>
          <cell r="H195">
            <v>192.93</v>
          </cell>
          <cell r="I195">
            <v>1350.51</v>
          </cell>
          <cell r="J195">
            <v>1.0499999999999999E-3</v>
          </cell>
        </row>
        <row r="196">
          <cell r="A196" t="str">
            <v>14.1.14</v>
          </cell>
          <cell r="B196">
            <v>110653</v>
          </cell>
          <cell r="C196" t="str">
            <v>SEDOP</v>
          </cell>
          <cell r="D196" t="str">
            <v>Granito e=2cm</v>
          </cell>
          <cell r="E196" t="str">
            <v>m²</v>
          </cell>
          <cell r="F196">
            <v>1.4</v>
          </cell>
          <cell r="G196">
            <v>381</v>
          </cell>
          <cell r="H196">
            <v>491.75</v>
          </cell>
          <cell r="I196">
            <v>688.45</v>
          </cell>
          <cell r="J196">
            <v>5.2999999999999998E-4</v>
          </cell>
        </row>
        <row r="197">
          <cell r="A197" t="str">
            <v>14.2</v>
          </cell>
          <cell r="B197"/>
          <cell r="C197"/>
          <cell r="D197" t="str">
            <v>CONEXÕES (ÁGUA FRIA)</v>
          </cell>
          <cell r="E197"/>
          <cell r="F197"/>
          <cell r="G197"/>
          <cell r="H197"/>
          <cell r="I197">
            <v>2448.9899999999998</v>
          </cell>
          <cell r="J197">
            <v>1.9E-3</v>
          </cell>
        </row>
        <row r="198">
          <cell r="A198" t="str">
            <v>14.2.1</v>
          </cell>
          <cell r="B198" t="str">
            <v>CP007</v>
          </cell>
          <cell r="C198" t="str">
            <v>Próprio</v>
          </cell>
          <cell r="D198" t="str">
            <v>BUCHA DE REDUCAO DE PVC, SOLDAVEL, CURTA, COM 25 X 20 MM - FORNECIMENTO E INSTALAÇÃO</v>
          </cell>
          <cell r="E198" t="str">
            <v>UN</v>
          </cell>
          <cell r="F198">
            <v>20</v>
          </cell>
          <cell r="G198">
            <v>5.58</v>
          </cell>
          <cell r="H198">
            <v>7.2</v>
          </cell>
          <cell r="I198">
            <v>144</v>
          </cell>
          <cell r="J198">
            <v>1.1E-4</v>
          </cell>
        </row>
        <row r="199">
          <cell r="A199" t="str">
            <v>14.2.2</v>
          </cell>
          <cell r="B199" t="str">
            <v>CP008</v>
          </cell>
          <cell r="C199" t="str">
            <v>Próprio</v>
          </cell>
          <cell r="D199" t="str">
            <v>BUCHA DE REDUCAO DE PVC, SOLDAVEL, CURTA, COM 32 X 25 MM - FORNECIMENTO E INSTALAÇÃO</v>
          </cell>
          <cell r="E199" t="str">
            <v>UN</v>
          </cell>
          <cell r="F199">
            <v>23</v>
          </cell>
          <cell r="G199">
            <v>6.07</v>
          </cell>
          <cell r="H199">
            <v>7.83</v>
          </cell>
          <cell r="I199">
            <v>180.09</v>
          </cell>
          <cell r="J199">
            <v>1.3999999999999999E-4</v>
          </cell>
        </row>
        <row r="200">
          <cell r="A200" t="str">
            <v>14.2.3</v>
          </cell>
          <cell r="B200">
            <v>90375</v>
          </cell>
          <cell r="C200" t="str">
            <v>SINAPI</v>
          </cell>
          <cell r="D200" t="str">
            <v>BUCHA DE REDUÇÃO, PVC, SOLDÁVEL, DN 40MM X 32MM, INSTALADO EM RAMAL OU SUB-RAMAL DE ÁGUA - FORNECIMENTO E INSTALAÇÃO. AF_03/2015</v>
          </cell>
          <cell r="E200" t="str">
            <v>UN</v>
          </cell>
          <cell r="F200">
            <v>9</v>
          </cell>
          <cell r="G200">
            <v>7.21</v>
          </cell>
          <cell r="H200">
            <v>9.3000000000000007</v>
          </cell>
          <cell r="I200">
            <v>83.7</v>
          </cell>
          <cell r="J200">
            <v>6.0000000000000002E-5</v>
          </cell>
        </row>
        <row r="201">
          <cell r="A201" t="str">
            <v>14.2.4</v>
          </cell>
          <cell r="B201">
            <v>89410</v>
          </cell>
          <cell r="C201" t="str">
            <v>SINAPI</v>
          </cell>
          <cell r="D201" t="str">
            <v>CURVA 90 GRAUS, PVC, SOLDÁVEL, DN 25MM, INSTALADO EM RAMAL DE DISTRIBUIÇÃO DE ÁGUA - FORNECIMENTO E INSTALAÇÃO. AF_12/2014</v>
          </cell>
          <cell r="E201" t="str">
            <v>UN</v>
          </cell>
          <cell r="F201">
            <v>21</v>
          </cell>
          <cell r="G201">
            <v>7.13</v>
          </cell>
          <cell r="H201">
            <v>9.1999999999999993</v>
          </cell>
          <cell r="I201">
            <v>193.2</v>
          </cell>
          <cell r="J201">
            <v>1.4999999999999999E-4</v>
          </cell>
        </row>
        <row r="202">
          <cell r="A202" t="str">
            <v>14.2.5</v>
          </cell>
          <cell r="B202">
            <v>89405</v>
          </cell>
          <cell r="C202" t="str">
            <v>SINAPI</v>
          </cell>
          <cell r="D202" t="str">
            <v>JOELHO 45 GRAUS, PVC, SOLDÁVEL, DN 20MM, INSTALADO EM RAMAL DE DISTRIBUIÇÃO DE ÁGUA - FORNECIMENTO E INSTALAÇÃO. AF_12/2014</v>
          </cell>
          <cell r="E202" t="str">
            <v>UN</v>
          </cell>
          <cell r="F202">
            <v>4</v>
          </cell>
          <cell r="G202">
            <v>4.16</v>
          </cell>
          <cell r="H202">
            <v>5.36</v>
          </cell>
          <cell r="I202">
            <v>21.44</v>
          </cell>
          <cell r="J202">
            <v>2.0000000000000002E-5</v>
          </cell>
        </row>
        <row r="203">
          <cell r="A203" t="str">
            <v>14.2.6</v>
          </cell>
          <cell r="B203">
            <v>89414</v>
          </cell>
          <cell r="C203" t="str">
            <v>SINAPI</v>
          </cell>
          <cell r="D203" t="str">
            <v>JOELHO 45 GRAUS, PVC, SOLDÁVEL, DN 32MM, INSTALADO EM RAMAL DE DISTRIBUIÇÃO DE ÁGUA - FORNECIMENTO E INSTALAÇÃO. AF_12/2014</v>
          </cell>
          <cell r="E203" t="str">
            <v>UN</v>
          </cell>
          <cell r="F203">
            <v>1</v>
          </cell>
          <cell r="G203">
            <v>9.33</v>
          </cell>
          <cell r="H203">
            <v>12.04</v>
          </cell>
          <cell r="I203">
            <v>12.04</v>
          </cell>
          <cell r="J203">
            <v>1.0000000000000001E-5</v>
          </cell>
        </row>
        <row r="204">
          <cell r="A204" t="str">
            <v>14.2.7</v>
          </cell>
          <cell r="B204">
            <v>89404</v>
          </cell>
          <cell r="C204" t="str">
            <v>SINAPI</v>
          </cell>
          <cell r="D204" t="str">
            <v>JOELHO 90 GRAUS, PVC, SOLDÁVEL, DN 20MM, INSTALADO EM RAMAL DE DISTRIBUIÇÃO DE ÁGUA - FORNECIMENTO E INSTALAÇÃO. AF_12/2014</v>
          </cell>
          <cell r="E204" t="str">
            <v>UN</v>
          </cell>
          <cell r="F204">
            <v>8</v>
          </cell>
          <cell r="G204">
            <v>3.78</v>
          </cell>
          <cell r="H204">
            <v>4.87</v>
          </cell>
          <cell r="I204">
            <v>38.96</v>
          </cell>
          <cell r="J204">
            <v>3.0000000000000001E-5</v>
          </cell>
        </row>
        <row r="205">
          <cell r="A205" t="str">
            <v>14.2.8</v>
          </cell>
          <cell r="B205">
            <v>89413</v>
          </cell>
          <cell r="C205" t="str">
            <v>SINAPI</v>
          </cell>
          <cell r="D205" t="str">
            <v>JOELHO 90 GRAUS, PVC, SOLDÁVEL, DN 32MM, INSTALADO EM RAMAL DE DISTRIBUIÇÃO DE ÁGUA - FORNECIMENTO E INSTALAÇÃO. AF_12/2014</v>
          </cell>
          <cell r="E205" t="str">
            <v>UN</v>
          </cell>
          <cell r="F205">
            <v>32</v>
          </cell>
          <cell r="G205">
            <v>7.02</v>
          </cell>
          <cell r="H205">
            <v>9.06</v>
          </cell>
          <cell r="I205">
            <v>289.92</v>
          </cell>
          <cell r="J205">
            <v>2.2000000000000001E-4</v>
          </cell>
        </row>
        <row r="206">
          <cell r="A206" t="str">
            <v>14.2.9</v>
          </cell>
          <cell r="B206">
            <v>89497</v>
          </cell>
          <cell r="C206" t="str">
            <v>SINAPI</v>
          </cell>
          <cell r="D206" t="str">
            <v>JOELHO 90 GRAUS, PVC, SOLDÁVEL, DN 40MM, INSTALADO EM PRUMADA DE ÁGUA - FORNECIMENTO E INSTALAÇÃO. AF_12/2014</v>
          </cell>
          <cell r="E206" t="str">
            <v>UN</v>
          </cell>
          <cell r="F206">
            <v>9</v>
          </cell>
          <cell r="G206">
            <v>9.9499999999999993</v>
          </cell>
          <cell r="H206">
            <v>12.84</v>
          </cell>
          <cell r="I206">
            <v>115.56</v>
          </cell>
          <cell r="J206">
            <v>9.0000000000000006E-5</v>
          </cell>
        </row>
        <row r="207">
          <cell r="A207" t="str">
            <v>14.2.10</v>
          </cell>
          <cell r="B207" t="str">
            <v>CP009</v>
          </cell>
          <cell r="C207" t="str">
            <v>Próprio</v>
          </cell>
          <cell r="D207" t="str">
            <v>JOELHO PVC, SOLDAVEL, COM BUCHA DE LATAO, 90 GRAUS, 20 MM X 1/2", PARA AGUA FRIA PREDIAL - FORNECIMENTO E INSTALAÇÃO</v>
          </cell>
          <cell r="E207" t="str">
            <v>UN</v>
          </cell>
          <cell r="F207">
            <v>38</v>
          </cell>
          <cell r="G207">
            <v>11.95</v>
          </cell>
          <cell r="H207">
            <v>15.42</v>
          </cell>
          <cell r="I207">
            <v>585.96</v>
          </cell>
          <cell r="J207">
            <v>4.4999999999999999E-4</v>
          </cell>
        </row>
        <row r="208">
          <cell r="A208" t="str">
            <v>14.2.11</v>
          </cell>
          <cell r="B208" t="str">
            <v>CP070</v>
          </cell>
          <cell r="C208" t="str">
            <v>Próprio</v>
          </cell>
          <cell r="D208" t="str">
            <v>JOELHO PVC, SOLDAVEL, COM BUCHA DE LATAO, 90 GRAUS, 25 MM X 3/4", PARA AGUA FRIA PREDIAL - FORNECIMENTO E INSTALAÇÃO</v>
          </cell>
          <cell r="E208" t="str">
            <v>UN</v>
          </cell>
          <cell r="F208">
            <v>4</v>
          </cell>
          <cell r="G208">
            <v>13.64</v>
          </cell>
          <cell r="H208">
            <v>17.600000000000001</v>
          </cell>
          <cell r="I208">
            <v>70.400000000000006</v>
          </cell>
          <cell r="J208">
            <v>5.0000000000000002E-5</v>
          </cell>
        </row>
        <row r="209">
          <cell r="A209" t="str">
            <v>14.2.12</v>
          </cell>
          <cell r="B209">
            <v>89445</v>
          </cell>
          <cell r="C209" t="str">
            <v>SINAPI</v>
          </cell>
          <cell r="D209" t="str">
            <v>TÊ DE REDUÇÃO, PVC, SOLDÁVEL, DN 32MM X 25MM, INSTALADO EM RAMAL DE DISTRIBUIÇÃO DE ÁGUA - FORNECIMENTO E INSTALAÇÃO. AF_12/2014</v>
          </cell>
          <cell r="E209" t="str">
            <v>UN</v>
          </cell>
          <cell r="F209">
            <v>2</v>
          </cell>
          <cell r="G209">
            <v>13.1</v>
          </cell>
          <cell r="H209">
            <v>16.899999999999999</v>
          </cell>
          <cell r="I209">
            <v>33.799999999999997</v>
          </cell>
          <cell r="J209">
            <v>3.0000000000000001E-5</v>
          </cell>
        </row>
        <row r="210">
          <cell r="A210" t="str">
            <v>14.2.13</v>
          </cell>
          <cell r="B210">
            <v>89624</v>
          </cell>
          <cell r="C210" t="str">
            <v>SINAPI</v>
          </cell>
          <cell r="D210" t="str">
            <v>TÊ DE REDUÇÃO, PVC, SOLDÁVEL, DN 40MM X 32MM, INSTALADO EM PRUMADA DE ÁGUA - FORNECIMENTO E INSTALAÇÃO. AF_12/2014</v>
          </cell>
          <cell r="E210" t="str">
            <v>UN</v>
          </cell>
          <cell r="F210">
            <v>12</v>
          </cell>
          <cell r="G210">
            <v>16.91</v>
          </cell>
          <cell r="H210">
            <v>21.82</v>
          </cell>
          <cell r="I210">
            <v>261.83999999999997</v>
          </cell>
          <cell r="J210">
            <v>2.0000000000000001E-4</v>
          </cell>
        </row>
        <row r="211">
          <cell r="A211" t="str">
            <v>14.2.14</v>
          </cell>
          <cell r="B211">
            <v>89438</v>
          </cell>
          <cell r="C211" t="str">
            <v>SINAPI</v>
          </cell>
          <cell r="D211" t="str">
            <v>TE, PVC, SOLDÁVEL, DN 20MM, INSTALADO EM RAMAL DE DISTRIBUIÇÃO DE ÁGUA - FORNECIMENTO E INSTALAÇÃO. AF_12/2014</v>
          </cell>
          <cell r="E211" t="str">
            <v>UN</v>
          </cell>
          <cell r="F211">
            <v>21</v>
          </cell>
          <cell r="G211">
            <v>5.44</v>
          </cell>
          <cell r="H211">
            <v>7.02</v>
          </cell>
          <cell r="I211">
            <v>147.41999999999999</v>
          </cell>
          <cell r="J211">
            <v>1.1E-4</v>
          </cell>
        </row>
        <row r="212">
          <cell r="A212" t="str">
            <v>14.2.15</v>
          </cell>
          <cell r="B212">
            <v>89443</v>
          </cell>
          <cell r="C212" t="str">
            <v>SINAPI</v>
          </cell>
          <cell r="D212" t="str">
            <v>TE, PVC, SOLDÁVEL, DN 32MM, INSTALADO EM RAMAL DE DISTRIBUIÇÃO DE ÁGUA - FORNECIMENTO E INSTALAÇÃO. AF_12/2014</v>
          </cell>
          <cell r="E212" t="str">
            <v>UN</v>
          </cell>
          <cell r="F212">
            <v>3</v>
          </cell>
          <cell r="G212">
            <v>10.95</v>
          </cell>
          <cell r="H212">
            <v>14.13</v>
          </cell>
          <cell r="I212">
            <v>42.39</v>
          </cell>
          <cell r="J212">
            <v>3.0000000000000001E-5</v>
          </cell>
        </row>
        <row r="213">
          <cell r="A213" t="str">
            <v>14.2.16</v>
          </cell>
          <cell r="B213">
            <v>89623</v>
          </cell>
          <cell r="C213" t="str">
            <v>SINAPI</v>
          </cell>
          <cell r="D213" t="str">
            <v>TE, PVC, SOLDÁVEL, DN 40MM, INSTALADO EM PRUMADA DE ÁGUA - FORNECIMENTO E INSTALAÇÃO. AF_12/2014</v>
          </cell>
          <cell r="E213" t="str">
            <v>UN</v>
          </cell>
          <cell r="F213">
            <v>9</v>
          </cell>
          <cell r="G213">
            <v>15.82</v>
          </cell>
          <cell r="H213">
            <v>20.41</v>
          </cell>
          <cell r="I213">
            <v>183.69</v>
          </cell>
          <cell r="J213">
            <v>1.3999999999999999E-4</v>
          </cell>
        </row>
        <row r="214">
          <cell r="A214" t="str">
            <v>14.2.17</v>
          </cell>
          <cell r="B214">
            <v>89394</v>
          </cell>
          <cell r="C214" t="str">
            <v>SINAPI</v>
          </cell>
          <cell r="D214" t="str">
            <v>TÊ COM BUCHA DE LATÃO NA BOLSA CENTRAL, PVC, SOLDÁVEL, DN 20MM X 1/2, INSTALADO EM RAMAL OU SUB-RAMAL DE ÁGUA - FORNECIMENTO E INSTALAÇÃO. AF_12/2014</v>
          </cell>
          <cell r="E214" t="str">
            <v>UN</v>
          </cell>
          <cell r="F214">
            <v>2</v>
          </cell>
          <cell r="G214">
            <v>17.27</v>
          </cell>
          <cell r="H214">
            <v>22.29</v>
          </cell>
          <cell r="I214">
            <v>44.58</v>
          </cell>
          <cell r="J214">
            <v>3.0000000000000001E-5</v>
          </cell>
        </row>
        <row r="215">
          <cell r="A215" t="str">
            <v>14.3</v>
          </cell>
          <cell r="B215"/>
          <cell r="C215"/>
          <cell r="D215" t="str">
            <v>CONEXÕES (ESGOTO)</v>
          </cell>
          <cell r="E215"/>
          <cell r="F215"/>
          <cell r="G215"/>
          <cell r="H215"/>
          <cell r="I215">
            <v>6529.47</v>
          </cell>
          <cell r="J215">
            <v>5.1000000000000004E-3</v>
          </cell>
        </row>
        <row r="216">
          <cell r="A216" t="str">
            <v>14.3.1</v>
          </cell>
          <cell r="B216" t="str">
            <v>CP011</v>
          </cell>
          <cell r="C216" t="str">
            <v>Próprio</v>
          </cell>
          <cell r="D216" t="str">
            <v>CAP PVC, SOLDAVEL, DN 100 MM, SERIE NORMAL, PARA ESGOTO PREDIAL</v>
          </cell>
          <cell r="E216" t="str">
            <v>UN</v>
          </cell>
          <cell r="F216">
            <v>5</v>
          </cell>
          <cell r="G216">
            <v>22.22</v>
          </cell>
          <cell r="H216">
            <v>28.67</v>
          </cell>
          <cell r="I216">
            <v>143.35</v>
          </cell>
          <cell r="J216">
            <v>1.1E-4</v>
          </cell>
        </row>
        <row r="217">
          <cell r="A217" t="str">
            <v>14.3.2</v>
          </cell>
          <cell r="B217">
            <v>89812</v>
          </cell>
          <cell r="C217" t="str">
            <v>SINAPI</v>
          </cell>
          <cell r="D217" t="str">
            <v>CURVA LONGA 90 GRAUS, PVC, SERIE NORMAL, ESGOTO PREDIAL, DN 100 MM, JUNTA ELÁSTICA, FORNECIDO E INSTALADO EM PRUMADA DE ESGOTO SANITÁRIO OU VENTILAÇÃO. AF_12/2014</v>
          </cell>
          <cell r="E217" t="str">
            <v>UN</v>
          </cell>
          <cell r="F217">
            <v>16</v>
          </cell>
          <cell r="G217">
            <v>57.49</v>
          </cell>
          <cell r="H217">
            <v>74.2</v>
          </cell>
          <cell r="I217">
            <v>1187.2</v>
          </cell>
          <cell r="J217">
            <v>9.2000000000000003E-4</v>
          </cell>
        </row>
        <row r="218">
          <cell r="A218" t="str">
            <v>14.3.3</v>
          </cell>
          <cell r="B218">
            <v>89726</v>
          </cell>
          <cell r="C218" t="str">
            <v>SINAPI</v>
          </cell>
          <cell r="D218" t="str">
            <v>JOELHO 45 GRAUS, PVC, SERIE NORMAL, ESGOTO PREDIAL, DN 40 MM, JUNTA SOLDÁVEL, FORNECIDO E INSTALADO EM RAMAL DE DESCARGA OU RAMAL DE ESGOTO SANITÁRIO. AF_12/2014</v>
          </cell>
          <cell r="E218" t="str">
            <v>UN</v>
          </cell>
          <cell r="F218">
            <v>34</v>
          </cell>
          <cell r="G218">
            <v>5.81</v>
          </cell>
          <cell r="H218">
            <v>7.49</v>
          </cell>
          <cell r="I218">
            <v>254.66</v>
          </cell>
          <cell r="J218">
            <v>2.0000000000000001E-4</v>
          </cell>
        </row>
        <row r="219">
          <cell r="A219" t="str">
            <v>14.3.4</v>
          </cell>
          <cell r="B219">
            <v>89802</v>
          </cell>
          <cell r="C219" t="str">
            <v>SINAPI</v>
          </cell>
          <cell r="D219" t="str">
            <v>JOELHO 45 GRAUS, PVC, SERIE NORMAL, ESGOTO PREDIAL, DN 50 MM, JUNTA ELÁSTICA, FORNECIDO E INSTALADO EM PRUMADA DE ESGOTO SANITÁRIO OU VENTILAÇÃO. AF_12/2014</v>
          </cell>
          <cell r="E219" t="str">
            <v>UN</v>
          </cell>
          <cell r="F219">
            <v>5</v>
          </cell>
          <cell r="G219">
            <v>7.04</v>
          </cell>
          <cell r="H219">
            <v>9.08</v>
          </cell>
          <cell r="I219">
            <v>45.4</v>
          </cell>
          <cell r="J219">
            <v>4.0000000000000003E-5</v>
          </cell>
        </row>
        <row r="220">
          <cell r="A220" t="str">
            <v>14.3.5</v>
          </cell>
          <cell r="B220">
            <v>89810</v>
          </cell>
          <cell r="C220" t="str">
            <v>SINAPI</v>
          </cell>
          <cell r="D220" t="str">
            <v>JOELHO 45 GRAUS, PVC, SERIE NORMAL, ESGOTO PREDIAL, DN 100 MM, JUNTA ELÁSTICA, FORNECIDO E INSTALADO EM PRUMADA DE ESGOTO SANITÁRIO OU VENTILAÇÃO. AF_12/2014</v>
          </cell>
          <cell r="E220" t="str">
            <v>UN</v>
          </cell>
          <cell r="F220">
            <v>41</v>
          </cell>
          <cell r="G220">
            <v>17.18</v>
          </cell>
          <cell r="H220">
            <v>22.17</v>
          </cell>
          <cell r="I220">
            <v>908.97</v>
          </cell>
          <cell r="J220">
            <v>7.1000000000000002E-4</v>
          </cell>
        </row>
        <row r="221">
          <cell r="A221" t="str">
            <v>14.3.6</v>
          </cell>
          <cell r="B221">
            <v>89724</v>
          </cell>
          <cell r="C221" t="str">
            <v>SINAPI</v>
          </cell>
          <cell r="D221" t="str">
            <v>JOELHO 90 GRAUS, PVC, SERIE NORMAL, ESGOTO PREDIAL, DN 40 MM, JUNTA SOLDÁVEL, FORNECIDO E INSTALADO EM RAMAL DE DESCARGA OU RAMAL DE ESGOTO SANITÁRIO. AF_12/2014</v>
          </cell>
          <cell r="E221" t="str">
            <v>UN</v>
          </cell>
          <cell r="F221">
            <v>42</v>
          </cell>
          <cell r="G221">
            <v>8.57</v>
          </cell>
          <cell r="H221">
            <v>11.06</v>
          </cell>
          <cell r="I221">
            <v>464.52</v>
          </cell>
          <cell r="J221">
            <v>3.6000000000000002E-4</v>
          </cell>
        </row>
        <row r="222">
          <cell r="A222" t="str">
            <v>14.3.7</v>
          </cell>
          <cell r="B222">
            <v>89801</v>
          </cell>
          <cell r="C222" t="str">
            <v>SINAPI</v>
          </cell>
          <cell r="D222" t="str">
            <v>JOELHO 90 GRAUS, PVC, SERIE NORMAL, ESGOTO PREDIAL, DN 50 MM, JUNTA ELÁSTICA, FORNECIDO E INSTALADO EM PRUMADA DE ESGOTO SANITÁRIO OU VENTILAÇÃO. AF_12/2014</v>
          </cell>
          <cell r="E222" t="str">
            <v>UN</v>
          </cell>
          <cell r="F222">
            <v>24</v>
          </cell>
          <cell r="G222">
            <v>6.38</v>
          </cell>
          <cell r="H222">
            <v>8.23</v>
          </cell>
          <cell r="I222">
            <v>197.52</v>
          </cell>
          <cell r="J222">
            <v>1.4999999999999999E-4</v>
          </cell>
        </row>
        <row r="223">
          <cell r="A223" t="str">
            <v>14.3.8</v>
          </cell>
          <cell r="B223">
            <v>89809</v>
          </cell>
          <cell r="C223" t="str">
            <v>SINAPI</v>
          </cell>
          <cell r="D223" t="str">
            <v>JOELHO 90 GRAUS, PVC, SERIE NORMAL, ESGOTO PREDIAL, DN 100 MM, JUNTA ELÁSTICA, FORNECIDO E INSTALADO EM PRUMADA DE ESGOTO SANITÁRIO OU VENTILAÇÃO. AF_12/2014</v>
          </cell>
          <cell r="E223" t="str">
            <v>UN</v>
          </cell>
          <cell r="F223">
            <v>9</v>
          </cell>
          <cell r="G223">
            <v>17.23</v>
          </cell>
          <cell r="H223">
            <v>22.23</v>
          </cell>
          <cell r="I223">
            <v>200.07</v>
          </cell>
          <cell r="J223">
            <v>1.6000000000000001E-4</v>
          </cell>
        </row>
        <row r="224">
          <cell r="A224" t="str">
            <v>14.3.9</v>
          </cell>
          <cell r="B224">
            <v>89834</v>
          </cell>
          <cell r="C224" t="str">
            <v>SINAPI</v>
          </cell>
          <cell r="D224" t="str">
            <v>JUNÇÃO SIMPLES, PVC, SERIE NORMAL, ESGOTO PREDIAL, DN 100 X 100 MM, JUNTA ELÁSTICA, FORNECIDO E INSTALADO EM PRUMADA DE ESGOTO SANITÁRIO OU VENTILAÇÃO. AF_12/2014</v>
          </cell>
          <cell r="E224" t="str">
            <v>UN</v>
          </cell>
          <cell r="F224">
            <v>10</v>
          </cell>
          <cell r="G224">
            <v>37.159999999999997</v>
          </cell>
          <cell r="H224">
            <v>47.96</v>
          </cell>
          <cell r="I224">
            <v>479.6</v>
          </cell>
          <cell r="J224">
            <v>3.6999999999999999E-4</v>
          </cell>
        </row>
        <row r="225">
          <cell r="A225" t="str">
            <v>14.3.10</v>
          </cell>
          <cell r="B225" t="str">
            <v>CP010</v>
          </cell>
          <cell r="C225" t="str">
            <v>Próprio</v>
          </cell>
          <cell r="D225" t="str">
            <v>JUNÇÃO SIMPLES, PVC, SERIE NORMAL, ESGOTO PREDIAL, DN 100 X 50 MM, JUNTA ELÁSTICA, FORNECIDO E INSTALADO EM PRUMADA DE ESGOTO SANITÁRIO OU VENTILAÇÃO</v>
          </cell>
          <cell r="E225" t="str">
            <v>UN</v>
          </cell>
          <cell r="F225">
            <v>7</v>
          </cell>
          <cell r="G225">
            <v>29.14</v>
          </cell>
          <cell r="H225">
            <v>37.61</v>
          </cell>
          <cell r="I225">
            <v>263.27</v>
          </cell>
          <cell r="J225">
            <v>2.0000000000000001E-4</v>
          </cell>
        </row>
        <row r="226">
          <cell r="A226" t="str">
            <v>14.3.11</v>
          </cell>
          <cell r="B226">
            <v>89821</v>
          </cell>
          <cell r="C226" t="str">
            <v>SINAPI</v>
          </cell>
          <cell r="D226" t="str">
            <v>LUVA SIMPLES, PVC, SERIE NORMAL, ESGOTO PREDIAL, DN 100 MM, JUNTA ELÁSTICA, FORNECIDO E INSTALADO EM PRUMADA DE ESGOTO SANITÁRIO OU VENTILAÇÃO. AF_12/2014</v>
          </cell>
          <cell r="E226" t="str">
            <v>UN</v>
          </cell>
          <cell r="F226">
            <v>83</v>
          </cell>
          <cell r="G226">
            <v>13.83</v>
          </cell>
          <cell r="H226">
            <v>17.850000000000001</v>
          </cell>
          <cell r="I226">
            <v>1481.55</v>
          </cell>
          <cell r="J226">
            <v>1.15E-3</v>
          </cell>
        </row>
        <row r="227">
          <cell r="A227" t="str">
            <v>14.3.12</v>
          </cell>
          <cell r="B227">
            <v>89813</v>
          </cell>
          <cell r="C227" t="str">
            <v>SINAPI</v>
          </cell>
          <cell r="D227" t="str">
            <v>LUVA SIMPLES, PVC, SERIE NORMAL, ESGOTO PREDIAL, DN 50 MM, JUNTA ELÁSTICA, FORNECIDO E INSTALADO EM PRUMADA DE ESGOTO SANITÁRIO OU VENTILAÇÃO. AF_12/2014</v>
          </cell>
          <cell r="E227" t="str">
            <v>UN</v>
          </cell>
          <cell r="F227">
            <v>45</v>
          </cell>
          <cell r="G227">
            <v>6.45</v>
          </cell>
          <cell r="H227">
            <v>8.32</v>
          </cell>
          <cell r="I227">
            <v>374.4</v>
          </cell>
          <cell r="J227">
            <v>2.9E-4</v>
          </cell>
        </row>
        <row r="228">
          <cell r="A228" t="str">
            <v>14.3.13</v>
          </cell>
          <cell r="B228">
            <v>39319</v>
          </cell>
          <cell r="C228" t="str">
            <v>SINAPI</v>
          </cell>
          <cell r="D228" t="str">
            <v>TERMINAL DE VENTILACAO, 50 MM, SERIE NORMAL, ESGOTO PREDIAL</v>
          </cell>
          <cell r="E228" t="str">
            <v>UN</v>
          </cell>
          <cell r="F228">
            <v>19</v>
          </cell>
          <cell r="G228">
            <v>7.27</v>
          </cell>
          <cell r="H228">
            <v>9.3800000000000008</v>
          </cell>
          <cell r="I228">
            <v>178.22</v>
          </cell>
          <cell r="J228">
            <v>1.3999999999999999E-4</v>
          </cell>
        </row>
        <row r="229">
          <cell r="A229" t="str">
            <v>14.3.14</v>
          </cell>
          <cell r="B229">
            <v>89825</v>
          </cell>
          <cell r="C229" t="str">
            <v>SINAPI</v>
          </cell>
          <cell r="D229" t="str">
            <v>TE, PVC, SERIE NORMAL, ESGOTO PREDIAL, DN 50 X 50 MM, JUNTA ELÁSTICA, FORNECIDO E INSTALADO EM PRUMADA DE ESGOTO SANITÁRIO OU VENTILAÇÃO. AF_12/2014</v>
          </cell>
          <cell r="E229" t="str">
            <v>UN</v>
          </cell>
          <cell r="F229">
            <v>19</v>
          </cell>
          <cell r="G229">
            <v>14.31</v>
          </cell>
          <cell r="H229">
            <v>18.46</v>
          </cell>
          <cell r="I229">
            <v>350.74</v>
          </cell>
          <cell r="J229">
            <v>2.7E-4</v>
          </cell>
        </row>
        <row r="230">
          <cell r="A230" t="str">
            <v>14.4</v>
          </cell>
          <cell r="B230"/>
          <cell r="C230"/>
          <cell r="D230" t="str">
            <v>CAIXAS E RALOS</v>
          </cell>
          <cell r="E230"/>
          <cell r="F230"/>
          <cell r="G230"/>
          <cell r="H230"/>
          <cell r="I230">
            <v>19962.41</v>
          </cell>
          <cell r="J230">
            <v>1.55E-2</v>
          </cell>
        </row>
        <row r="231">
          <cell r="A231" t="str">
            <v>14.4.1</v>
          </cell>
          <cell r="B231">
            <v>89707</v>
          </cell>
          <cell r="C231" t="str">
            <v>SINAPI</v>
          </cell>
          <cell r="D231" t="str">
            <v>CAIXA SIFONADA, PVC, DN 100 X 100 X 50 MM, JUNTA ELÁSTICA, FORNECIDA E INSTALADA EM RAMAL DE DESCARGA OU EM RAMAL DE ESGOTO SANITÁRIO. AF_12/2014</v>
          </cell>
          <cell r="E231" t="str">
            <v>UN</v>
          </cell>
          <cell r="F231">
            <v>19</v>
          </cell>
          <cell r="G231">
            <v>28.79</v>
          </cell>
          <cell r="H231">
            <v>37.15</v>
          </cell>
          <cell r="I231">
            <v>705.85</v>
          </cell>
          <cell r="J231">
            <v>5.5000000000000003E-4</v>
          </cell>
        </row>
        <row r="232">
          <cell r="A232" t="str">
            <v>14.4.2</v>
          </cell>
          <cell r="B232" t="str">
            <v>CP006</v>
          </cell>
          <cell r="C232" t="str">
            <v>Próprio</v>
          </cell>
          <cell r="D232" t="str">
            <v>PROLONGAMENTO PVC PARA CAIXA SIFONADA 100 MM X 200 MM</v>
          </cell>
          <cell r="E232" t="str">
            <v>UN</v>
          </cell>
          <cell r="F232">
            <v>24</v>
          </cell>
          <cell r="G232">
            <v>10.050000000000001</v>
          </cell>
          <cell r="H232">
            <v>12.97</v>
          </cell>
          <cell r="I232">
            <v>311.27999999999997</v>
          </cell>
          <cell r="J232">
            <v>2.4000000000000001E-4</v>
          </cell>
        </row>
        <row r="233">
          <cell r="A233" t="str">
            <v>14.4.3</v>
          </cell>
          <cell r="B233">
            <v>89709</v>
          </cell>
          <cell r="C233" t="str">
            <v>SINAPI</v>
          </cell>
          <cell r="D233" t="str">
            <v>RALO SIFONADO, PVC, DN 100 X 40 MM, JUNTA SOLDÁVEL, FORNECIDO E INSTALADO EM RAMAL DE DESCARGA OU EM RAMAL DE ESGOTO SANITÁRIO. AF_12/2014</v>
          </cell>
          <cell r="E233" t="str">
            <v>UN</v>
          </cell>
          <cell r="F233">
            <v>5</v>
          </cell>
          <cell r="G233">
            <v>11</v>
          </cell>
          <cell r="H233">
            <v>14.19</v>
          </cell>
          <cell r="I233">
            <v>70.95</v>
          </cell>
          <cell r="J233">
            <v>6.0000000000000002E-5</v>
          </cell>
        </row>
        <row r="234">
          <cell r="A234" t="str">
            <v>14.4.4</v>
          </cell>
          <cell r="B234" t="str">
            <v>CP072</v>
          </cell>
          <cell r="C234" t="str">
            <v>Próprio</v>
          </cell>
          <cell r="D234" t="str">
            <v>CAIXA D´ÁGUA EM POLIETILENO, 5000 LITROS - FORNECIMENTO E INSTALAÇÃO.</v>
          </cell>
          <cell r="E234" t="str">
            <v>UN</v>
          </cell>
          <cell r="F234">
            <v>1</v>
          </cell>
          <cell r="G234">
            <v>3008.73</v>
          </cell>
          <cell r="H234">
            <v>3883.36</v>
          </cell>
          <cell r="I234">
            <v>3883.36</v>
          </cell>
          <cell r="J234">
            <v>3.0100000000000001E-3</v>
          </cell>
        </row>
        <row r="235">
          <cell r="A235" t="str">
            <v>14.4.5</v>
          </cell>
          <cell r="B235">
            <v>180414</v>
          </cell>
          <cell r="C235" t="str">
            <v>SEDOP</v>
          </cell>
          <cell r="D235" t="str">
            <v>Caixa em alvenaria de  30x30x30cm c/ tpo. concreto</v>
          </cell>
          <cell r="E235" t="str">
            <v>UN</v>
          </cell>
          <cell r="F235">
            <v>9</v>
          </cell>
          <cell r="G235">
            <v>174.83</v>
          </cell>
          <cell r="H235">
            <v>225.65</v>
          </cell>
          <cell r="I235">
            <v>2030.85</v>
          </cell>
          <cell r="J235">
            <v>1.58E-3</v>
          </cell>
        </row>
        <row r="236">
          <cell r="A236" t="str">
            <v>14.4.6</v>
          </cell>
          <cell r="B236">
            <v>180413</v>
          </cell>
          <cell r="C236" t="str">
            <v>SEDOP</v>
          </cell>
          <cell r="D236" t="str">
            <v>Caixa em alvenaria de  40x40x50cm c/ tpo. concreto</v>
          </cell>
          <cell r="E236" t="str">
            <v>UN</v>
          </cell>
          <cell r="F236">
            <v>34</v>
          </cell>
          <cell r="G236">
            <v>295.33</v>
          </cell>
          <cell r="H236">
            <v>381.18</v>
          </cell>
          <cell r="I236">
            <v>12960.12</v>
          </cell>
          <cell r="J236">
            <v>1.005E-2</v>
          </cell>
        </row>
        <row r="237">
          <cell r="A237" t="str">
            <v>14.5</v>
          </cell>
          <cell r="B237"/>
          <cell r="C237"/>
          <cell r="D237" t="str">
            <v>REGISTROS E VÁLVULAS</v>
          </cell>
          <cell r="E237"/>
          <cell r="F237"/>
          <cell r="G237"/>
          <cell r="H237"/>
          <cell r="I237">
            <v>1347.69</v>
          </cell>
          <cell r="J237">
            <v>1.1000000000000001E-3</v>
          </cell>
        </row>
        <row r="238">
          <cell r="A238" t="str">
            <v>14.5.1</v>
          </cell>
          <cell r="B238">
            <v>89985</v>
          </cell>
          <cell r="C238" t="str">
            <v>SINAPI</v>
          </cell>
          <cell r="D238" t="str">
            <v>REGISTRO DE PRESSÃO BRUTO, LATÃO, ROSCÁVEL, 3/4", COM ACABAMENTO E CANOPLA CROMADOS - FORNECIMENTO E INSTALAÇÃO. AF_08/2021</v>
          </cell>
          <cell r="E238" t="str">
            <v>UN</v>
          </cell>
          <cell r="F238">
            <v>5</v>
          </cell>
          <cell r="G238">
            <v>73.3</v>
          </cell>
          <cell r="H238">
            <v>94.6</v>
          </cell>
          <cell r="I238">
            <v>473</v>
          </cell>
          <cell r="J238">
            <v>3.6999999999999999E-4</v>
          </cell>
        </row>
        <row r="239">
          <cell r="A239" t="str">
            <v>14.5.2</v>
          </cell>
          <cell r="B239">
            <v>94490</v>
          </cell>
          <cell r="C239" t="str">
            <v>SINAPI</v>
          </cell>
          <cell r="D239" t="str">
            <v>REGISTRO DE ESFERA, PVC, SOLDÁVEL, COM VOLANTE, DN  32 MM - FORNECIMENTO E INSTALAÇÃO. AF_08/2021</v>
          </cell>
          <cell r="E239" t="str">
            <v>UN</v>
          </cell>
          <cell r="F239">
            <v>25</v>
          </cell>
          <cell r="G239">
            <v>25.7</v>
          </cell>
          <cell r="H239">
            <v>33.17</v>
          </cell>
          <cell r="I239">
            <v>829.25</v>
          </cell>
          <cell r="J239">
            <v>6.4000000000000005E-4</v>
          </cell>
        </row>
        <row r="240">
          <cell r="A240" t="str">
            <v>14.5.3</v>
          </cell>
          <cell r="B240">
            <v>94491</v>
          </cell>
          <cell r="C240" t="str">
            <v>SINAPI</v>
          </cell>
          <cell r="D240" t="str">
            <v>REGISTRO DE ESFERA, PVC, SOLDÁVEL, COM VOLANTE, DN  40 MM - FORNECIMENTO E INSTALAÇÃO. AF_08/2021</v>
          </cell>
          <cell r="E240" t="str">
            <v>UN</v>
          </cell>
          <cell r="F240">
            <v>1</v>
          </cell>
          <cell r="G240">
            <v>35.21</v>
          </cell>
          <cell r="H240">
            <v>45.44</v>
          </cell>
          <cell r="I240">
            <v>45.44</v>
          </cell>
          <cell r="J240">
            <v>4.0000000000000003E-5</v>
          </cell>
        </row>
        <row r="241">
          <cell r="A241" t="str">
            <v>14.6</v>
          </cell>
          <cell r="B241"/>
          <cell r="C241"/>
          <cell r="D241" t="str">
            <v>TUBOS</v>
          </cell>
          <cell r="E241"/>
          <cell r="F241"/>
          <cell r="G241"/>
          <cell r="H241"/>
          <cell r="I241">
            <v>19364.810000000001</v>
          </cell>
          <cell r="J241">
            <v>1.4999999999999999E-2</v>
          </cell>
        </row>
        <row r="242">
          <cell r="A242" t="str">
            <v>14.6.1</v>
          </cell>
          <cell r="B242">
            <v>89355</v>
          </cell>
          <cell r="C242" t="str">
            <v>SINAPI</v>
          </cell>
          <cell r="D242" t="str">
            <v>TUBO, PVC, SOLDÁVEL, DN 20MM, INSTALADO EM RAMAL OU SUB-RAMAL DE ÁGUA - FORNECIMENTO E INSTALAÇÃO. AF_12/2014</v>
          </cell>
          <cell r="E242" t="str">
            <v>M</v>
          </cell>
          <cell r="F242">
            <v>47.16</v>
          </cell>
          <cell r="G242">
            <v>13.97</v>
          </cell>
          <cell r="H242">
            <v>18.03</v>
          </cell>
          <cell r="I242">
            <v>850.29</v>
          </cell>
          <cell r="J242">
            <v>6.6E-4</v>
          </cell>
        </row>
        <row r="243">
          <cell r="A243" t="str">
            <v>14.6.2</v>
          </cell>
          <cell r="B243">
            <v>89356</v>
          </cell>
          <cell r="C243" t="str">
            <v>SINAPI</v>
          </cell>
          <cell r="D243" t="str">
            <v>TUBO, PVC, SOLDÁVEL, DN 25MM, INSTALADO EM RAMAL OU SUB-RAMAL DE ÁGUA - FORNECIMENTO E INSTALAÇÃO. AF_12/2014</v>
          </cell>
          <cell r="E243" t="str">
            <v>M</v>
          </cell>
          <cell r="F243">
            <v>56.88</v>
          </cell>
          <cell r="G243">
            <v>16.579999999999998</v>
          </cell>
          <cell r="H243">
            <v>21.39</v>
          </cell>
          <cell r="I243">
            <v>1216.6600000000001</v>
          </cell>
          <cell r="J243">
            <v>9.3999999999999997E-4</v>
          </cell>
        </row>
        <row r="244">
          <cell r="A244" t="str">
            <v>14.6.3</v>
          </cell>
          <cell r="B244">
            <v>89357</v>
          </cell>
          <cell r="C244" t="str">
            <v>SINAPI</v>
          </cell>
          <cell r="D244" t="str">
            <v>TUBO, PVC, SOLDÁVEL, DN 32MM, INSTALADO EM RAMAL OU SUB-RAMAL DE ÁGUA - FORNECIMENTO E INSTALAÇÃO. AF_12/2014</v>
          </cell>
          <cell r="E244" t="str">
            <v>M</v>
          </cell>
          <cell r="F244">
            <v>96.18</v>
          </cell>
          <cell r="G244">
            <v>24.24</v>
          </cell>
          <cell r="H244">
            <v>31.28</v>
          </cell>
          <cell r="I244">
            <v>3008.51</v>
          </cell>
          <cell r="J244">
            <v>2.33E-3</v>
          </cell>
        </row>
        <row r="245">
          <cell r="A245" t="str">
            <v>14.6.4</v>
          </cell>
          <cell r="B245">
            <v>89448</v>
          </cell>
          <cell r="C245" t="str">
            <v>SINAPI</v>
          </cell>
          <cell r="D245" t="str">
            <v>TUBO, PVC, SOLDÁVEL, DN 40MM, INSTALADO EM PRUMADA DE ÁGUA - FORNECIMENTO E INSTALAÇÃO. AF_12/2014</v>
          </cell>
          <cell r="E245" t="str">
            <v>M</v>
          </cell>
          <cell r="F245">
            <v>80.41</v>
          </cell>
          <cell r="G245">
            <v>14.65</v>
          </cell>
          <cell r="H245">
            <v>18.899999999999999</v>
          </cell>
          <cell r="I245">
            <v>1519.74</v>
          </cell>
          <cell r="J245">
            <v>1.1800000000000001E-3</v>
          </cell>
        </row>
        <row r="246">
          <cell r="A246" t="str">
            <v>14.6.5</v>
          </cell>
          <cell r="B246">
            <v>89711</v>
          </cell>
          <cell r="C246" t="str">
            <v>SINAPI</v>
          </cell>
          <cell r="D246" t="str">
            <v>TUBO PVC, SERIE NORMAL, ESGOTO PREDIAL, DN 40 MM, FORNECIDO E INSTALADO EM RAMAL DE DESCARGA OU RAMAL DE ESGOTO SANITÁRIO. AF_12/2014</v>
          </cell>
          <cell r="E246" t="str">
            <v>M</v>
          </cell>
          <cell r="F246">
            <v>49.91</v>
          </cell>
          <cell r="G246">
            <v>15.89</v>
          </cell>
          <cell r="H246">
            <v>20.5</v>
          </cell>
          <cell r="I246">
            <v>1023.15</v>
          </cell>
          <cell r="J246">
            <v>7.9000000000000001E-4</v>
          </cell>
        </row>
        <row r="247">
          <cell r="A247" t="str">
            <v>14.6.6</v>
          </cell>
          <cell r="B247">
            <v>89798</v>
          </cell>
          <cell r="C247" t="str">
            <v>SINAPI</v>
          </cell>
          <cell r="D247" t="str">
            <v>TUBO PVC, SERIE NORMAL, ESGOTO PREDIAL, DN 50 MM, FORNECIDO E INSTALADO EM PRUMADA DE ESGOTO SANITÁRIO OU VENTILAÇÃO. AF_12/2014</v>
          </cell>
          <cell r="E247" t="str">
            <v>M</v>
          </cell>
          <cell r="F247">
            <v>82.26</v>
          </cell>
          <cell r="G247">
            <v>12.1</v>
          </cell>
          <cell r="H247">
            <v>15.61</v>
          </cell>
          <cell r="I247">
            <v>1284.07</v>
          </cell>
          <cell r="J247">
            <v>1E-3</v>
          </cell>
        </row>
        <row r="248">
          <cell r="A248" t="str">
            <v>14.6.7</v>
          </cell>
          <cell r="B248">
            <v>89800</v>
          </cell>
          <cell r="C248" t="str">
            <v>SINAPI</v>
          </cell>
          <cell r="D248" t="str">
            <v>TUBO PVC, SERIE NORMAL, ESGOTO PREDIAL, DN 100 MM, FORNECIDO E INSTALADO EM PRUMADA DE ESGOTO SANITÁRIO OU VENTILAÇÃO. AF_12/2014</v>
          </cell>
          <cell r="E248" t="str">
            <v>M</v>
          </cell>
          <cell r="F248">
            <v>255.42</v>
          </cell>
          <cell r="G248">
            <v>23.32</v>
          </cell>
          <cell r="H248">
            <v>30.09</v>
          </cell>
          <cell r="I248">
            <v>7685.58</v>
          </cell>
          <cell r="J248">
            <v>5.96E-3</v>
          </cell>
        </row>
        <row r="249">
          <cell r="A249" t="str">
            <v>14.6.8</v>
          </cell>
          <cell r="B249">
            <v>96636</v>
          </cell>
          <cell r="C249" t="str">
            <v>SINAPI</v>
          </cell>
          <cell r="D249" t="str">
            <v>TUBO, PPR, DN 25, CLASSE PN 25 INSTALADO EM RAMAL OU SUB-RAMAL DE ÁGUA  FORNECIMENTO E INSTALAÇÃO. AF_06/2015</v>
          </cell>
          <cell r="E249" t="str">
            <v>M</v>
          </cell>
          <cell r="F249">
            <v>71.87</v>
          </cell>
          <cell r="G249">
            <v>26.76</v>
          </cell>
          <cell r="H249">
            <v>34.53</v>
          </cell>
          <cell r="I249">
            <v>2481.67</v>
          </cell>
          <cell r="J249">
            <v>1.92E-3</v>
          </cell>
        </row>
        <row r="250">
          <cell r="A250" t="str">
            <v>14.6.9</v>
          </cell>
          <cell r="B250">
            <v>96648</v>
          </cell>
          <cell r="C250" t="str">
            <v>SINAPI</v>
          </cell>
          <cell r="D250" t="str">
            <v>TUBO, PPR, DN 32, CLASSE PN 25,  INSTALADO EM RAMAL DE DISTRIBUIÇÃO DE ÁGUA  FORNECIMENTO E INSTALAÇÃO. AF_06/2015</v>
          </cell>
          <cell r="E250" t="str">
            <v>M</v>
          </cell>
          <cell r="F250">
            <v>7.56</v>
          </cell>
          <cell r="G250">
            <v>30.25</v>
          </cell>
          <cell r="H250">
            <v>39.04</v>
          </cell>
          <cell r="I250">
            <v>295.14</v>
          </cell>
          <cell r="J250">
            <v>2.3000000000000001E-4</v>
          </cell>
        </row>
        <row r="251">
          <cell r="A251" t="str">
            <v>14.7</v>
          </cell>
          <cell r="B251"/>
          <cell r="C251"/>
          <cell r="D251" t="str">
            <v>CONEXÕES (DRENOS)</v>
          </cell>
          <cell r="E251"/>
          <cell r="F251"/>
          <cell r="G251"/>
          <cell r="H251"/>
          <cell r="I251">
            <v>1071.18</v>
          </cell>
          <cell r="J251">
            <v>8.0000000000000004E-4</v>
          </cell>
        </row>
        <row r="252">
          <cell r="A252" t="str">
            <v>14.7.1</v>
          </cell>
          <cell r="B252">
            <v>96662</v>
          </cell>
          <cell r="C252" t="str">
            <v>SINAPI</v>
          </cell>
          <cell r="D252" t="str">
            <v>BUCHA DE REDUÇÃO, PPR, 32 X 25, CLASSE PN 25, INSTALADO EM RAMAL DE DISTRIBUIÇÃO DE ÁGUA  FORNECIMENTO E INSTALAÇÃO . AF_06/2015</v>
          </cell>
          <cell r="E252" t="str">
            <v>UN</v>
          </cell>
          <cell r="F252">
            <v>1</v>
          </cell>
          <cell r="G252">
            <v>10.91</v>
          </cell>
          <cell r="H252">
            <v>14.08</v>
          </cell>
          <cell r="I252">
            <v>14.08</v>
          </cell>
          <cell r="J252">
            <v>1.0000000000000001E-5</v>
          </cell>
        </row>
        <row r="253">
          <cell r="A253" t="str">
            <v>14.7.2</v>
          </cell>
          <cell r="B253">
            <v>96685</v>
          </cell>
          <cell r="C253" t="str">
            <v>SINAPI</v>
          </cell>
          <cell r="D253" t="str">
            <v>JOELHO 45 GRAUS, PPR, DN 25 MM, CLASSE PN 25, INSTALADO EM PRUMADA DE ÁGUA  FORNECIMENTO E INSTALAÇÃO . AF_06/2015</v>
          </cell>
          <cell r="E253" t="str">
            <v>UN</v>
          </cell>
          <cell r="F253">
            <v>14</v>
          </cell>
          <cell r="G253">
            <v>4.08</v>
          </cell>
          <cell r="H253">
            <v>5.26</v>
          </cell>
          <cell r="I253">
            <v>73.64</v>
          </cell>
          <cell r="J253">
            <v>6.0000000000000002E-5</v>
          </cell>
        </row>
        <row r="254">
          <cell r="A254" t="str">
            <v>14.7.3</v>
          </cell>
          <cell r="B254">
            <v>96687</v>
          </cell>
          <cell r="C254" t="str">
            <v>SINAPI</v>
          </cell>
          <cell r="D254" t="str">
            <v>JOELHO 45 GRAUS, PPR, DN 32 MM, CLASSE PN 25, INSTALADO EM PRUMADA DE ÁGUA  FORNECIMENTO E INSTALAÇÃO . AF_06/2015</v>
          </cell>
          <cell r="E254" t="str">
            <v>UN</v>
          </cell>
          <cell r="F254">
            <v>2</v>
          </cell>
          <cell r="G254">
            <v>6.98</v>
          </cell>
          <cell r="H254">
            <v>9</v>
          </cell>
          <cell r="I254">
            <v>18</v>
          </cell>
          <cell r="J254">
            <v>1.0000000000000001E-5</v>
          </cell>
        </row>
        <row r="255">
          <cell r="A255" t="str">
            <v>14.7.4</v>
          </cell>
          <cell r="B255">
            <v>96650</v>
          </cell>
          <cell r="C255" t="str">
            <v>SINAPI</v>
          </cell>
          <cell r="D255" t="str">
            <v>JOELHO 90 GRAUS, PPR, DN 25 MM, CLASSE PN 25, INSTALADO EM RAMAL DE DISTRIBUIÇÃO  FORNECIMENTO E INSTALAÇÃO . AF_06/2015</v>
          </cell>
          <cell r="E255" t="str">
            <v>UN</v>
          </cell>
          <cell r="F255">
            <v>52</v>
          </cell>
          <cell r="G255">
            <v>8.42</v>
          </cell>
          <cell r="H255">
            <v>10.86</v>
          </cell>
          <cell r="I255">
            <v>564.72</v>
          </cell>
          <cell r="J255">
            <v>4.4000000000000002E-4</v>
          </cell>
        </row>
        <row r="256">
          <cell r="A256" t="str">
            <v>14.7.5</v>
          </cell>
          <cell r="B256">
            <v>96652</v>
          </cell>
          <cell r="C256" t="str">
            <v>SINAPI</v>
          </cell>
          <cell r="D256" t="str">
            <v>JOELHO 90 GRAUS, PPR, DN 32 MM, CLASSE PN 25, INSTALADO EM RAMAL DE DISTRIBUIÇÃO  FORNECIMENTO E INSTALAÇÃO . AF_06/2015</v>
          </cell>
          <cell r="E256" t="str">
            <v>UN</v>
          </cell>
          <cell r="F256">
            <v>4</v>
          </cell>
          <cell r="G256">
            <v>15.62</v>
          </cell>
          <cell r="H256">
            <v>20.16</v>
          </cell>
          <cell r="I256">
            <v>80.64</v>
          </cell>
          <cell r="J256">
            <v>6.0000000000000002E-5</v>
          </cell>
        </row>
        <row r="257">
          <cell r="A257" t="str">
            <v>14.7.6</v>
          </cell>
          <cell r="B257">
            <v>96867</v>
          </cell>
          <cell r="C257" t="str">
            <v>SINAPI</v>
          </cell>
          <cell r="D257" t="str">
            <v>TÊ, ROSCA MACHO, METÁLICO, PARA INSTALAÇÕES EM PEX, DN 32 MM X 1", CONEXÃO POR ANEL DESLIZANTE  FORNECIMENTO E INSTALAÇÃO. AF_06/2015</v>
          </cell>
          <cell r="E257" t="str">
            <v>UN</v>
          </cell>
          <cell r="F257">
            <v>3</v>
          </cell>
          <cell r="G257">
            <v>82.67</v>
          </cell>
          <cell r="H257">
            <v>106.7</v>
          </cell>
          <cell r="I257">
            <v>320.10000000000002</v>
          </cell>
          <cell r="J257">
            <v>2.5000000000000001E-4</v>
          </cell>
        </row>
        <row r="258">
          <cell r="A258" t="str">
            <v>14.8</v>
          </cell>
          <cell r="B258"/>
          <cell r="C258"/>
          <cell r="D258" t="str">
            <v>FOSSA, FILTRO E SUMIDOURO</v>
          </cell>
          <cell r="E258"/>
          <cell r="F258"/>
          <cell r="G258"/>
          <cell r="H258"/>
          <cell r="I258">
            <v>19814.009999999998</v>
          </cell>
          <cell r="J258">
            <v>1.54E-2</v>
          </cell>
        </row>
        <row r="259">
          <cell r="A259" t="str">
            <v>14.8.1</v>
          </cell>
          <cell r="B259">
            <v>180550</v>
          </cell>
          <cell r="C259" t="str">
            <v>SEDOP</v>
          </cell>
          <cell r="D259" t="str">
            <v>Fossa septica em concreto armado - cap= 50 pessoas</v>
          </cell>
          <cell r="E259" t="str">
            <v>UN</v>
          </cell>
          <cell r="F259">
            <v>1</v>
          </cell>
          <cell r="G259">
            <v>6996.39</v>
          </cell>
          <cell r="H259">
            <v>9030.24</v>
          </cell>
          <cell r="I259">
            <v>9030.24</v>
          </cell>
          <cell r="J259">
            <v>7.0000000000000001E-3</v>
          </cell>
        </row>
        <row r="260">
          <cell r="A260" t="str">
            <v>14.8.2</v>
          </cell>
          <cell r="B260">
            <v>180417</v>
          </cell>
          <cell r="C260" t="str">
            <v>SEDOP</v>
          </cell>
          <cell r="D260" t="str">
            <v>Filtro anaerobico conc.arm. d=1.4m p=1.8m</v>
          </cell>
          <cell r="E260" t="str">
            <v>UN</v>
          </cell>
          <cell r="F260">
            <v>1</v>
          </cell>
          <cell r="G260">
            <v>3217.33</v>
          </cell>
          <cell r="H260">
            <v>4152.6000000000004</v>
          </cell>
          <cell r="I260">
            <v>4152.6000000000004</v>
          </cell>
          <cell r="J260">
            <v>3.2200000000000002E-3</v>
          </cell>
        </row>
        <row r="261">
          <cell r="A261" t="str">
            <v>14.8.3</v>
          </cell>
          <cell r="B261">
            <v>180543</v>
          </cell>
          <cell r="C261" t="str">
            <v>SEDOP</v>
          </cell>
          <cell r="D261" t="str">
            <v>Sumidouro em alvenaria c/ tpo.em concreto - cap= 50 pessoas</v>
          </cell>
          <cell r="E261" t="str">
            <v>UN</v>
          </cell>
          <cell r="F261">
            <v>1</v>
          </cell>
          <cell r="G261">
            <v>2738.4</v>
          </cell>
          <cell r="H261">
            <v>3534.45</v>
          </cell>
          <cell r="I261">
            <v>3534.45</v>
          </cell>
          <cell r="J261">
            <v>2.7399999999999998E-3</v>
          </cell>
        </row>
        <row r="262">
          <cell r="A262" t="str">
            <v>14.8.4</v>
          </cell>
          <cell r="B262">
            <v>180544</v>
          </cell>
          <cell r="C262" t="str">
            <v>SEDOP</v>
          </cell>
          <cell r="D262" t="str">
            <v>Sumidouro em alvenaria c/ tpo.em concreto - cap= 30 pessoas</v>
          </cell>
          <cell r="E262" t="str">
            <v>UN</v>
          </cell>
          <cell r="F262">
            <v>1</v>
          </cell>
          <cell r="G262">
            <v>2399.2600000000002</v>
          </cell>
          <cell r="H262">
            <v>3096.72</v>
          </cell>
          <cell r="I262">
            <v>3096.72</v>
          </cell>
          <cell r="J262">
            <v>2.3999999999999998E-3</v>
          </cell>
        </row>
        <row r="263">
          <cell r="A263">
            <v>15</v>
          </cell>
          <cell r="B263"/>
          <cell r="C263"/>
          <cell r="D263" t="str">
            <v>CENTRAL DE AR</v>
          </cell>
          <cell r="E263"/>
          <cell r="F263"/>
          <cell r="G263"/>
          <cell r="H263"/>
          <cell r="I263">
            <v>50379.06</v>
          </cell>
          <cell r="J263">
            <v>3.9100000000000003E-2</v>
          </cell>
        </row>
        <row r="264">
          <cell r="A264" t="str">
            <v>15.1</v>
          </cell>
          <cell r="B264">
            <v>231308</v>
          </cell>
          <cell r="C264" t="str">
            <v>SEDOP</v>
          </cell>
          <cell r="D264" t="str">
            <v>Aparelho Air-Split -  9.000 BTU's - Inverter</v>
          </cell>
          <cell r="E264" t="str">
            <v>UN</v>
          </cell>
          <cell r="F264">
            <v>11</v>
          </cell>
          <cell r="G264">
            <v>2250.5300000000002</v>
          </cell>
          <cell r="H264">
            <v>2904.75</v>
          </cell>
          <cell r="I264">
            <v>31952.25</v>
          </cell>
          <cell r="J264">
            <v>2.478E-2</v>
          </cell>
        </row>
        <row r="265">
          <cell r="A265" t="str">
            <v>15.2</v>
          </cell>
          <cell r="B265">
            <v>231309</v>
          </cell>
          <cell r="C265" t="str">
            <v>SEDOP</v>
          </cell>
          <cell r="D265" t="str">
            <v>Aparelho Air-Split - 12.000 BTU's - Inverter</v>
          </cell>
          <cell r="E265" t="str">
            <v>UN</v>
          </cell>
          <cell r="F265">
            <v>3</v>
          </cell>
          <cell r="G265">
            <v>2666.29</v>
          </cell>
          <cell r="H265">
            <v>3441.38</v>
          </cell>
          <cell r="I265">
            <v>10324.14</v>
          </cell>
          <cell r="J265">
            <v>8.0099999999999998E-3</v>
          </cell>
        </row>
        <row r="266">
          <cell r="A266" t="str">
            <v>15.3</v>
          </cell>
          <cell r="B266">
            <v>231310</v>
          </cell>
          <cell r="C266" t="str">
            <v>SEDOP</v>
          </cell>
          <cell r="D266" t="str">
            <v>Aparelho Air-Split - 18.000 BTU's - Inverter</v>
          </cell>
          <cell r="E266" t="str">
            <v>UN</v>
          </cell>
          <cell r="F266">
            <v>1</v>
          </cell>
          <cell r="G266">
            <v>3409.06</v>
          </cell>
          <cell r="H266">
            <v>4400.07</v>
          </cell>
          <cell r="I266">
            <v>4400.07</v>
          </cell>
          <cell r="J266">
            <v>3.4099999999999998E-3</v>
          </cell>
        </row>
        <row r="267">
          <cell r="A267" t="str">
            <v>15.4</v>
          </cell>
          <cell r="B267">
            <v>231084</v>
          </cell>
          <cell r="C267" t="str">
            <v>SEDOP</v>
          </cell>
          <cell r="D267" t="str">
            <v>Ponto de dreno p/ split (10m)</v>
          </cell>
          <cell r="E267" t="str">
            <v>PT</v>
          </cell>
          <cell r="F267">
            <v>15</v>
          </cell>
          <cell r="G267">
            <v>191.25</v>
          </cell>
          <cell r="H267">
            <v>246.84</v>
          </cell>
          <cell r="I267">
            <v>3702.6</v>
          </cell>
          <cell r="J267">
            <v>2.8700000000000002E-3</v>
          </cell>
        </row>
        <row r="268">
          <cell r="A268">
            <v>16</v>
          </cell>
          <cell r="B268"/>
          <cell r="C268"/>
          <cell r="D268" t="str">
            <v>PREVENÇÃO E COMBATE À INCÊNCIO</v>
          </cell>
          <cell r="E268"/>
          <cell r="F268"/>
          <cell r="G268"/>
          <cell r="H268"/>
          <cell r="I268">
            <v>5472.14</v>
          </cell>
          <cell r="J268">
            <v>4.1999999999999997E-3</v>
          </cell>
        </row>
        <row r="269">
          <cell r="A269" t="str">
            <v>16.1</v>
          </cell>
          <cell r="B269">
            <v>201507</v>
          </cell>
          <cell r="C269" t="str">
            <v>SEDOP</v>
          </cell>
          <cell r="D269" t="str">
            <v>Extintor de incêndio ABC -  6Kg</v>
          </cell>
          <cell r="E269" t="str">
            <v>UN</v>
          </cell>
          <cell r="F269">
            <v>3</v>
          </cell>
          <cell r="G269">
            <v>200.63</v>
          </cell>
          <cell r="H269">
            <v>258.95</v>
          </cell>
          <cell r="I269">
            <v>776.85</v>
          </cell>
          <cell r="J269">
            <v>5.9999999999999995E-4</v>
          </cell>
        </row>
        <row r="270">
          <cell r="A270" t="str">
            <v>16.2</v>
          </cell>
          <cell r="B270">
            <v>241468</v>
          </cell>
          <cell r="C270" t="str">
            <v>SEDOP</v>
          </cell>
          <cell r="D270" t="str">
            <v>Placa de sinalização fotoluminoscente</v>
          </cell>
          <cell r="E270" t="str">
            <v>UN</v>
          </cell>
          <cell r="F270">
            <v>27</v>
          </cell>
          <cell r="G270">
            <v>33.590000000000003</v>
          </cell>
          <cell r="H270">
            <v>43.35</v>
          </cell>
          <cell r="I270">
            <v>1170.45</v>
          </cell>
          <cell r="J270">
            <v>9.1E-4</v>
          </cell>
        </row>
        <row r="271">
          <cell r="A271" t="str">
            <v>16.3</v>
          </cell>
          <cell r="B271">
            <v>170081</v>
          </cell>
          <cell r="C271" t="str">
            <v>SEDOP</v>
          </cell>
          <cell r="D271" t="str">
            <v>Ponto de luz / força (c/tubul., cx. e fiaçao) ate 200W</v>
          </cell>
          <cell r="E271" t="str">
            <v>PT</v>
          </cell>
          <cell r="F271">
            <v>11</v>
          </cell>
          <cell r="G271">
            <v>221.04</v>
          </cell>
          <cell r="H271">
            <v>285.29000000000002</v>
          </cell>
          <cell r="I271">
            <v>3138.19</v>
          </cell>
          <cell r="J271">
            <v>2.4299999999999999E-3</v>
          </cell>
        </row>
        <row r="272">
          <cell r="A272" t="str">
            <v>16.4</v>
          </cell>
          <cell r="B272">
            <v>97599</v>
          </cell>
          <cell r="C272" t="str">
            <v>SINAPI</v>
          </cell>
          <cell r="D272" t="str">
            <v>LUMINÁRIA DE EMERGÊNCIA, COM 30 LÂMPADAS LED DE 2 W, SEM REATOR - FORNECIMENTO E INSTALAÇÃO. AF_02/2020</v>
          </cell>
          <cell r="E272" t="str">
            <v>UN</v>
          </cell>
          <cell r="F272">
            <v>11</v>
          </cell>
          <cell r="G272">
            <v>27.24</v>
          </cell>
          <cell r="H272">
            <v>35.15</v>
          </cell>
          <cell r="I272">
            <v>386.65</v>
          </cell>
          <cell r="J272">
            <v>2.9999999999999997E-4</v>
          </cell>
        </row>
        <row r="273">
          <cell r="A273">
            <v>17</v>
          </cell>
          <cell r="B273"/>
          <cell r="C273"/>
          <cell r="D273" t="str">
            <v>REDE DE AR COMPRIMIDO</v>
          </cell>
          <cell r="E273"/>
          <cell r="F273"/>
          <cell r="G273"/>
          <cell r="H273"/>
          <cell r="I273">
            <v>3212.44</v>
          </cell>
          <cell r="J273">
            <v>2.5000000000000001E-3</v>
          </cell>
        </row>
        <row r="274">
          <cell r="A274" t="str">
            <v>17.1</v>
          </cell>
          <cell r="B274" t="str">
            <v>CP071</v>
          </cell>
          <cell r="C274" t="str">
            <v>Próprio</v>
          </cell>
          <cell r="D274" t="str">
            <v>TUBO DE COBRE CLASSE "A", DN = 1/2 " (15 MM), PARA INSTALACOES DE MEDIA PRESSAO PARA GASES COMBUSTIVEIS E MEDICINAIS</v>
          </cell>
          <cell r="E274" t="str">
            <v>M</v>
          </cell>
          <cell r="F274">
            <v>40</v>
          </cell>
          <cell r="G274">
            <v>57.91</v>
          </cell>
          <cell r="H274">
            <v>74.739999999999995</v>
          </cell>
          <cell r="I274">
            <v>2989.6</v>
          </cell>
          <cell r="J274">
            <v>2.32E-3</v>
          </cell>
        </row>
        <row r="275">
          <cell r="A275" t="str">
            <v>17.2</v>
          </cell>
          <cell r="B275">
            <v>95248</v>
          </cell>
          <cell r="C275" t="str">
            <v>SINAPI</v>
          </cell>
          <cell r="D275" t="str">
            <v>VÁLVULA DE ESFERA BRUTA, BRONZE, ROSCÁVEL, 1/2" - FORNECIMENTO E INSTALAÇÃO. AF_08/2021</v>
          </cell>
          <cell r="E275" t="str">
            <v>UN</v>
          </cell>
          <cell r="F275">
            <v>4</v>
          </cell>
          <cell r="G275">
            <v>43.17</v>
          </cell>
          <cell r="H275">
            <v>55.71</v>
          </cell>
          <cell r="I275">
            <v>222.84</v>
          </cell>
          <cell r="J275">
            <v>1.7000000000000001E-4</v>
          </cell>
        </row>
        <row r="276">
          <cell r="A276">
            <v>18</v>
          </cell>
          <cell r="B276"/>
          <cell r="C276"/>
          <cell r="D276" t="str">
            <v>SERVIÇOS FINAIS</v>
          </cell>
          <cell r="E276"/>
          <cell r="F276"/>
          <cell r="G276"/>
          <cell r="H276"/>
          <cell r="I276">
            <v>4326.79</v>
          </cell>
          <cell r="J276">
            <v>3.3999999999999998E-3</v>
          </cell>
        </row>
        <row r="277">
          <cell r="A277" t="str">
            <v>18.1</v>
          </cell>
          <cell r="B277">
            <v>250532</v>
          </cell>
          <cell r="C277" t="str">
            <v>SEDOP</v>
          </cell>
          <cell r="D277" t="str">
            <v>Banco em concreto c/2 mod.2,75x0,4m (det.12)</v>
          </cell>
          <cell r="E277" t="str">
            <v>UN</v>
          </cell>
          <cell r="F277">
            <v>2</v>
          </cell>
          <cell r="G277">
            <v>333.76</v>
          </cell>
          <cell r="H277">
            <v>430.78</v>
          </cell>
          <cell r="I277">
            <v>861.56</v>
          </cell>
          <cell r="J277">
            <v>6.7000000000000002E-4</v>
          </cell>
        </row>
        <row r="278">
          <cell r="A278" t="str">
            <v>18.2</v>
          </cell>
          <cell r="B278">
            <v>270220</v>
          </cell>
          <cell r="C278" t="str">
            <v>SEDOP</v>
          </cell>
          <cell r="D278" t="str">
            <v>Limpeza geral e entrega da obra</v>
          </cell>
          <cell r="E278" t="str">
            <v>m²</v>
          </cell>
          <cell r="F278">
            <v>419.52</v>
          </cell>
          <cell r="G278">
            <v>6.4</v>
          </cell>
          <cell r="H278">
            <v>8.26</v>
          </cell>
          <cell r="I278">
            <v>3465.23</v>
          </cell>
          <cell r="J278">
            <v>2.6900000000000001E-3</v>
          </cell>
        </row>
        <row r="279">
          <cell r="I279">
            <v>1289245.8600000001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6182-FA0B-4BF5-A5B1-8892E6DB0441}">
  <sheetPr>
    <pageSetUpPr fitToPage="1"/>
  </sheetPr>
  <dimension ref="A1:J60"/>
  <sheetViews>
    <sheetView view="pageBreakPreview" zoomScaleNormal="100" zoomScaleSheetLayoutView="100" workbookViewId="0">
      <selection activeCell="B59" sqref="B59:I59"/>
    </sheetView>
  </sheetViews>
  <sheetFormatPr defaultColWidth="9.109375" defaultRowHeight="13.8" x14ac:dyDescent="0.3"/>
  <cols>
    <col min="1" max="16384" width="9.109375" style="77"/>
  </cols>
  <sheetData>
    <row r="1" spans="1:10" x14ac:dyDescent="0.3">
      <c r="A1" s="101"/>
      <c r="B1" s="228"/>
      <c r="C1" s="228"/>
      <c r="D1" s="228"/>
      <c r="E1" s="228"/>
      <c r="F1" s="228"/>
      <c r="G1" s="228"/>
      <c r="H1" s="228"/>
      <c r="I1" s="102"/>
      <c r="J1" s="103"/>
    </row>
    <row r="2" spans="1:10" x14ac:dyDescent="0.3">
      <c r="A2" s="85"/>
      <c r="B2" s="227"/>
      <c r="C2" s="227"/>
      <c r="D2" s="227"/>
      <c r="E2" s="227"/>
      <c r="F2" s="227"/>
      <c r="G2" s="227"/>
      <c r="H2" s="227"/>
      <c r="I2" s="104"/>
      <c r="J2" s="86"/>
    </row>
    <row r="3" spans="1:10" x14ac:dyDescent="0.3">
      <c r="A3" s="85"/>
      <c r="B3" s="227"/>
      <c r="C3" s="227"/>
      <c r="D3" s="227"/>
      <c r="E3" s="227"/>
      <c r="F3" s="227"/>
      <c r="G3" s="227"/>
      <c r="H3" s="227"/>
      <c r="I3" s="104"/>
      <c r="J3" s="86"/>
    </row>
    <row r="4" spans="1:10" x14ac:dyDescent="0.3">
      <c r="A4" s="85"/>
      <c r="B4" s="227"/>
      <c r="C4" s="227"/>
      <c r="D4" s="227"/>
      <c r="E4" s="227"/>
      <c r="F4" s="227"/>
      <c r="G4" s="227"/>
      <c r="H4" s="227"/>
      <c r="I4" s="104"/>
      <c r="J4" s="86"/>
    </row>
    <row r="5" spans="1:10" x14ac:dyDescent="0.3">
      <c r="A5" s="85"/>
      <c r="B5" s="227"/>
      <c r="C5" s="227"/>
      <c r="D5" s="227"/>
      <c r="E5" s="227"/>
      <c r="F5" s="227"/>
      <c r="G5" s="227"/>
      <c r="H5" s="227"/>
      <c r="I5" s="104"/>
      <c r="J5" s="86"/>
    </row>
    <row r="6" spans="1:10" x14ac:dyDescent="0.3">
      <c r="A6" s="85"/>
      <c r="B6" s="227"/>
      <c r="C6" s="227"/>
      <c r="D6" s="227"/>
      <c r="E6" s="227"/>
      <c r="F6" s="227"/>
      <c r="G6" s="227"/>
      <c r="H6" s="227"/>
      <c r="I6" s="104"/>
      <c r="J6" s="86"/>
    </row>
    <row r="7" spans="1:10" x14ac:dyDescent="0.3">
      <c r="A7" s="85"/>
      <c r="B7" s="227"/>
      <c r="C7" s="227"/>
      <c r="D7" s="227"/>
      <c r="E7" s="227"/>
      <c r="F7" s="227"/>
      <c r="G7" s="227"/>
      <c r="H7" s="227"/>
      <c r="I7" s="104"/>
      <c r="J7" s="86"/>
    </row>
    <row r="8" spans="1:10" x14ac:dyDescent="0.3">
      <c r="A8" s="85"/>
      <c r="B8" s="227"/>
      <c r="C8" s="227"/>
      <c r="D8" s="227"/>
      <c r="E8" s="227"/>
      <c r="F8" s="227"/>
      <c r="G8" s="227"/>
      <c r="H8" s="227"/>
      <c r="I8" s="104"/>
      <c r="J8" s="86"/>
    </row>
    <row r="9" spans="1:10" x14ac:dyDescent="0.3">
      <c r="A9" s="85"/>
      <c r="B9" s="227"/>
      <c r="C9" s="227"/>
      <c r="D9" s="227"/>
      <c r="E9" s="227"/>
      <c r="F9" s="227"/>
      <c r="G9" s="227"/>
      <c r="H9" s="227"/>
      <c r="I9" s="227"/>
      <c r="J9" s="86"/>
    </row>
    <row r="10" spans="1:10" x14ac:dyDescent="0.3">
      <c r="A10" s="85"/>
      <c r="B10" s="227"/>
      <c r="C10" s="227"/>
      <c r="D10" s="227"/>
      <c r="E10" s="227"/>
      <c r="F10" s="227"/>
      <c r="G10" s="227"/>
      <c r="H10" s="227"/>
      <c r="I10" s="227"/>
      <c r="J10" s="86"/>
    </row>
    <row r="11" spans="1:10" ht="15.6" x14ac:dyDescent="0.3">
      <c r="A11" s="85"/>
      <c r="B11" s="229" t="s">
        <v>12</v>
      </c>
      <c r="C11" s="229"/>
      <c r="D11" s="229"/>
      <c r="E11" s="229"/>
      <c r="F11" s="229"/>
      <c r="G11" s="229"/>
      <c r="H11" s="229"/>
      <c r="I11" s="229"/>
      <c r="J11" s="86"/>
    </row>
    <row r="12" spans="1:10" ht="15.6" x14ac:dyDescent="0.3">
      <c r="A12" s="85"/>
      <c r="B12" s="229" t="s">
        <v>15</v>
      </c>
      <c r="C12" s="229"/>
      <c r="D12" s="229"/>
      <c r="E12" s="229"/>
      <c r="F12" s="229"/>
      <c r="G12" s="229"/>
      <c r="H12" s="229"/>
      <c r="I12" s="229"/>
      <c r="J12" s="86"/>
    </row>
    <row r="13" spans="1:10" x14ac:dyDescent="0.3">
      <c r="A13" s="85"/>
      <c r="B13" s="227"/>
      <c r="C13" s="227"/>
      <c r="D13" s="227"/>
      <c r="E13" s="227"/>
      <c r="F13" s="227"/>
      <c r="G13" s="227"/>
      <c r="H13" s="227"/>
      <c r="I13" s="227"/>
      <c r="J13" s="86"/>
    </row>
    <row r="14" spans="1:10" x14ac:dyDescent="0.3">
      <c r="A14" s="85"/>
      <c r="B14" s="227"/>
      <c r="C14" s="227"/>
      <c r="D14" s="227"/>
      <c r="E14" s="227"/>
      <c r="F14" s="227"/>
      <c r="G14" s="227"/>
      <c r="H14" s="227"/>
      <c r="I14" s="227"/>
      <c r="J14" s="86"/>
    </row>
    <row r="15" spans="1:10" x14ac:dyDescent="0.3">
      <c r="A15" s="85"/>
      <c r="B15" s="227"/>
      <c r="C15" s="227"/>
      <c r="D15" s="227"/>
      <c r="E15" s="227"/>
      <c r="F15" s="227"/>
      <c r="G15" s="227"/>
      <c r="H15" s="227"/>
      <c r="I15" s="227"/>
      <c r="J15" s="86"/>
    </row>
    <row r="16" spans="1:10" x14ac:dyDescent="0.3">
      <c r="A16" s="85"/>
      <c r="B16" s="227"/>
      <c r="C16" s="227"/>
      <c r="D16" s="227"/>
      <c r="E16" s="227"/>
      <c r="F16" s="227"/>
      <c r="G16" s="227"/>
      <c r="H16" s="227"/>
      <c r="I16" s="227"/>
      <c r="J16" s="86"/>
    </row>
    <row r="17" spans="1:10" x14ac:dyDescent="0.3">
      <c r="A17" s="85"/>
      <c r="B17" s="227"/>
      <c r="C17" s="227"/>
      <c r="D17" s="227"/>
      <c r="E17" s="227"/>
      <c r="F17" s="227"/>
      <c r="G17" s="227"/>
      <c r="H17" s="227"/>
      <c r="I17" s="227"/>
      <c r="J17" s="86"/>
    </row>
    <row r="18" spans="1:10" x14ac:dyDescent="0.3">
      <c r="A18" s="85"/>
      <c r="B18" s="227"/>
      <c r="C18" s="227"/>
      <c r="D18" s="227"/>
      <c r="E18" s="227"/>
      <c r="F18" s="227"/>
      <c r="G18" s="227"/>
      <c r="H18" s="227"/>
      <c r="I18" s="227"/>
      <c r="J18" s="86"/>
    </row>
    <row r="19" spans="1:10" x14ac:dyDescent="0.3">
      <c r="A19" s="85"/>
      <c r="B19" s="227"/>
      <c r="C19" s="227"/>
      <c r="D19" s="227"/>
      <c r="E19" s="227"/>
      <c r="F19" s="227"/>
      <c r="G19" s="227"/>
      <c r="H19" s="227"/>
      <c r="I19" s="227"/>
      <c r="J19" s="86"/>
    </row>
    <row r="20" spans="1:10" x14ac:dyDescent="0.3">
      <c r="A20" s="85"/>
      <c r="B20" s="227"/>
      <c r="C20" s="227"/>
      <c r="D20" s="227"/>
      <c r="E20" s="227"/>
      <c r="F20" s="227"/>
      <c r="G20" s="227"/>
      <c r="H20" s="227"/>
      <c r="I20" s="227"/>
      <c r="J20" s="86"/>
    </row>
    <row r="21" spans="1:10" x14ac:dyDescent="0.3">
      <c r="A21" s="85"/>
      <c r="B21" s="227"/>
      <c r="C21" s="227"/>
      <c r="D21" s="227"/>
      <c r="E21" s="227"/>
      <c r="F21" s="227"/>
      <c r="G21" s="227"/>
      <c r="H21" s="227"/>
      <c r="I21" s="227"/>
      <c r="J21" s="86"/>
    </row>
    <row r="22" spans="1:10" x14ac:dyDescent="0.3">
      <c r="A22" s="85"/>
      <c r="B22" s="227"/>
      <c r="C22" s="227"/>
      <c r="D22" s="227"/>
      <c r="E22" s="227"/>
      <c r="F22" s="227"/>
      <c r="G22" s="227"/>
      <c r="H22" s="227"/>
      <c r="I22" s="227"/>
      <c r="J22" s="86"/>
    </row>
    <row r="23" spans="1:10" x14ac:dyDescent="0.3">
      <c r="A23" s="85"/>
      <c r="B23" s="227"/>
      <c r="C23" s="227"/>
      <c r="D23" s="227"/>
      <c r="E23" s="227"/>
      <c r="F23" s="227"/>
      <c r="G23" s="227"/>
      <c r="H23" s="227"/>
      <c r="I23" s="227"/>
      <c r="J23" s="86"/>
    </row>
    <row r="24" spans="1:10" x14ac:dyDescent="0.3">
      <c r="A24" s="85"/>
      <c r="B24" s="227"/>
      <c r="C24" s="227"/>
      <c r="D24" s="227"/>
      <c r="E24" s="227"/>
      <c r="F24" s="227"/>
      <c r="G24" s="227"/>
      <c r="H24" s="227"/>
      <c r="I24" s="227"/>
      <c r="J24" s="86"/>
    </row>
    <row r="25" spans="1:10" x14ac:dyDescent="0.3">
      <c r="A25" s="85"/>
      <c r="B25" s="227"/>
      <c r="C25" s="227"/>
      <c r="D25" s="227"/>
      <c r="E25" s="227"/>
      <c r="F25" s="227"/>
      <c r="G25" s="227"/>
      <c r="H25" s="227"/>
      <c r="I25" s="227"/>
      <c r="J25" s="86"/>
    </row>
    <row r="26" spans="1:10" x14ac:dyDescent="0.3">
      <c r="A26" s="85"/>
      <c r="B26" s="230" t="s">
        <v>480</v>
      </c>
      <c r="C26" s="230"/>
      <c r="D26" s="230"/>
      <c r="E26" s="230"/>
      <c r="F26" s="230"/>
      <c r="G26" s="230"/>
      <c r="H26" s="230"/>
      <c r="I26" s="230"/>
      <c r="J26" s="86"/>
    </row>
    <row r="27" spans="1:10" x14ac:dyDescent="0.3">
      <c r="A27" s="85"/>
      <c r="B27" s="230"/>
      <c r="C27" s="230"/>
      <c r="D27" s="230"/>
      <c r="E27" s="230"/>
      <c r="F27" s="230"/>
      <c r="G27" s="230"/>
      <c r="H27" s="230"/>
      <c r="I27" s="230"/>
      <c r="J27" s="86"/>
    </row>
    <row r="28" spans="1:10" x14ac:dyDescent="0.3">
      <c r="A28" s="85"/>
      <c r="B28" s="230"/>
      <c r="C28" s="230"/>
      <c r="D28" s="230"/>
      <c r="E28" s="230"/>
      <c r="F28" s="230"/>
      <c r="G28" s="230"/>
      <c r="H28" s="230"/>
      <c r="I28" s="230"/>
      <c r="J28" s="86"/>
    </row>
    <row r="29" spans="1:10" x14ac:dyDescent="0.3">
      <c r="A29" s="85"/>
      <c r="B29" s="230"/>
      <c r="C29" s="230"/>
      <c r="D29" s="230"/>
      <c r="E29" s="230"/>
      <c r="F29" s="230"/>
      <c r="G29" s="230"/>
      <c r="H29" s="230"/>
      <c r="I29" s="230"/>
      <c r="J29" s="86"/>
    </row>
    <row r="30" spans="1:10" x14ac:dyDescent="0.3">
      <c r="A30" s="85"/>
      <c r="B30" s="230"/>
      <c r="C30" s="230"/>
      <c r="D30" s="230"/>
      <c r="E30" s="230"/>
      <c r="F30" s="230"/>
      <c r="G30" s="230"/>
      <c r="H30" s="230"/>
      <c r="I30" s="230"/>
      <c r="J30" s="86"/>
    </row>
    <row r="31" spans="1:10" x14ac:dyDescent="0.3">
      <c r="A31" s="85"/>
      <c r="B31" s="230"/>
      <c r="C31" s="230"/>
      <c r="D31" s="230"/>
      <c r="E31" s="230"/>
      <c r="F31" s="230"/>
      <c r="G31" s="230"/>
      <c r="H31" s="230"/>
      <c r="I31" s="230"/>
      <c r="J31" s="86"/>
    </row>
    <row r="32" spans="1:10" x14ac:dyDescent="0.3">
      <c r="A32" s="85"/>
      <c r="B32" s="230"/>
      <c r="C32" s="230"/>
      <c r="D32" s="230"/>
      <c r="E32" s="230"/>
      <c r="F32" s="230"/>
      <c r="G32" s="230"/>
      <c r="H32" s="230"/>
      <c r="I32" s="230"/>
      <c r="J32" s="86"/>
    </row>
    <row r="33" spans="1:10" x14ac:dyDescent="0.3">
      <c r="A33" s="85"/>
      <c r="B33" s="230"/>
      <c r="C33" s="230"/>
      <c r="D33" s="230"/>
      <c r="E33" s="230"/>
      <c r="F33" s="230"/>
      <c r="G33" s="230"/>
      <c r="H33" s="230"/>
      <c r="I33" s="230"/>
      <c r="J33" s="86"/>
    </row>
    <row r="34" spans="1:10" x14ac:dyDescent="0.3">
      <c r="A34" s="85"/>
      <c r="B34" s="230"/>
      <c r="C34" s="230"/>
      <c r="D34" s="230"/>
      <c r="E34" s="230"/>
      <c r="F34" s="230"/>
      <c r="G34" s="230"/>
      <c r="H34" s="230"/>
      <c r="I34" s="230"/>
      <c r="J34" s="86"/>
    </row>
    <row r="35" spans="1:10" x14ac:dyDescent="0.3">
      <c r="A35" s="85"/>
      <c r="B35" s="227"/>
      <c r="C35" s="227"/>
      <c r="D35" s="227"/>
      <c r="E35" s="227"/>
      <c r="F35" s="227"/>
      <c r="G35" s="227"/>
      <c r="H35" s="227"/>
      <c r="I35" s="227"/>
      <c r="J35" s="86"/>
    </row>
    <row r="36" spans="1:10" x14ac:dyDescent="0.3">
      <c r="A36" s="85"/>
      <c r="B36" s="227"/>
      <c r="C36" s="227"/>
      <c r="D36" s="227"/>
      <c r="E36" s="227"/>
      <c r="F36" s="227"/>
      <c r="G36" s="227"/>
      <c r="H36" s="227"/>
      <c r="I36" s="227"/>
      <c r="J36" s="86"/>
    </row>
    <row r="37" spans="1:10" x14ac:dyDescent="0.3">
      <c r="A37" s="85"/>
      <c r="B37" s="227"/>
      <c r="C37" s="227"/>
      <c r="D37" s="227"/>
      <c r="E37" s="227"/>
      <c r="F37" s="227"/>
      <c r="G37" s="227"/>
      <c r="H37" s="227"/>
      <c r="I37" s="227"/>
      <c r="J37" s="86"/>
    </row>
    <row r="38" spans="1:10" x14ac:dyDescent="0.3">
      <c r="A38" s="85"/>
      <c r="B38" s="227"/>
      <c r="C38" s="227"/>
      <c r="D38" s="227"/>
      <c r="E38" s="227"/>
      <c r="F38" s="227"/>
      <c r="G38" s="227"/>
      <c r="H38" s="227"/>
      <c r="I38" s="227"/>
      <c r="J38" s="86"/>
    </row>
    <row r="39" spans="1:10" x14ac:dyDescent="0.3">
      <c r="A39" s="85"/>
      <c r="B39" s="227"/>
      <c r="C39" s="227"/>
      <c r="D39" s="227"/>
      <c r="E39" s="227"/>
      <c r="F39" s="227"/>
      <c r="G39" s="227"/>
      <c r="H39" s="227"/>
      <c r="I39" s="227"/>
      <c r="J39" s="86"/>
    </row>
    <row r="40" spans="1:10" x14ac:dyDescent="0.3">
      <c r="A40" s="85"/>
      <c r="B40" s="227"/>
      <c r="C40" s="227"/>
      <c r="D40" s="227"/>
      <c r="E40" s="227"/>
      <c r="F40" s="227"/>
      <c r="G40" s="227"/>
      <c r="H40" s="227"/>
      <c r="I40" s="227"/>
      <c r="J40" s="86"/>
    </row>
    <row r="41" spans="1:10" x14ac:dyDescent="0.3">
      <c r="A41" s="85"/>
      <c r="B41" s="227"/>
      <c r="C41" s="227"/>
      <c r="D41" s="227"/>
      <c r="E41" s="227"/>
      <c r="F41" s="227"/>
      <c r="G41" s="227"/>
      <c r="H41" s="227"/>
      <c r="I41" s="227"/>
      <c r="J41" s="86"/>
    </row>
    <row r="42" spans="1:10" x14ac:dyDescent="0.3">
      <c r="A42" s="85"/>
      <c r="B42" s="227"/>
      <c r="C42" s="227"/>
      <c r="D42" s="227"/>
      <c r="E42" s="227"/>
      <c r="F42" s="227"/>
      <c r="G42" s="227"/>
      <c r="H42" s="227"/>
      <c r="I42" s="227"/>
      <c r="J42" s="86"/>
    </row>
    <row r="43" spans="1:10" x14ac:dyDescent="0.3">
      <c r="A43" s="85"/>
      <c r="B43" s="227"/>
      <c r="C43" s="227"/>
      <c r="D43" s="227"/>
      <c r="E43" s="227"/>
      <c r="F43" s="227"/>
      <c r="G43" s="227"/>
      <c r="H43" s="227"/>
      <c r="I43" s="227"/>
      <c r="J43" s="86"/>
    </row>
    <row r="44" spans="1:10" x14ac:dyDescent="0.3">
      <c r="A44" s="85"/>
      <c r="B44" s="227"/>
      <c r="C44" s="227"/>
      <c r="D44" s="227"/>
      <c r="E44" s="227"/>
      <c r="F44" s="227"/>
      <c r="G44" s="227"/>
      <c r="H44" s="227"/>
      <c r="I44" s="227"/>
      <c r="J44" s="86"/>
    </row>
    <row r="45" spans="1:10" x14ac:dyDescent="0.3">
      <c r="A45" s="85"/>
      <c r="B45" s="227"/>
      <c r="C45" s="227"/>
      <c r="D45" s="227"/>
      <c r="E45" s="227"/>
      <c r="F45" s="227"/>
      <c r="G45" s="227"/>
      <c r="H45" s="227"/>
      <c r="I45" s="227"/>
      <c r="J45" s="86"/>
    </row>
    <row r="46" spans="1:10" x14ac:dyDescent="0.3">
      <c r="A46" s="85"/>
      <c r="B46" s="227"/>
      <c r="C46" s="227"/>
      <c r="D46" s="227"/>
      <c r="E46" s="227"/>
      <c r="F46" s="227"/>
      <c r="G46" s="227"/>
      <c r="H46" s="227"/>
      <c r="I46" s="227"/>
      <c r="J46" s="86"/>
    </row>
    <row r="47" spans="1:10" x14ac:dyDescent="0.3">
      <c r="A47" s="85"/>
      <c r="B47" s="227"/>
      <c r="C47" s="227"/>
      <c r="D47" s="227"/>
      <c r="E47" s="227"/>
      <c r="F47" s="227"/>
      <c r="G47" s="227"/>
      <c r="H47" s="227"/>
      <c r="I47" s="227"/>
      <c r="J47" s="86"/>
    </row>
    <row r="48" spans="1:10" x14ac:dyDescent="0.3">
      <c r="A48" s="85"/>
      <c r="B48" s="227"/>
      <c r="C48" s="227"/>
      <c r="D48" s="227"/>
      <c r="E48" s="227"/>
      <c r="F48" s="227"/>
      <c r="G48" s="227"/>
      <c r="H48" s="227"/>
      <c r="I48" s="227"/>
      <c r="J48" s="86"/>
    </row>
    <row r="49" spans="1:10" x14ac:dyDescent="0.3">
      <c r="A49" s="85"/>
      <c r="B49" s="227"/>
      <c r="C49" s="227"/>
      <c r="D49" s="227"/>
      <c r="E49" s="227"/>
      <c r="F49" s="227"/>
      <c r="G49" s="227"/>
      <c r="H49" s="227"/>
      <c r="I49" s="227"/>
      <c r="J49" s="86"/>
    </row>
    <row r="50" spans="1:10" x14ac:dyDescent="0.3">
      <c r="A50" s="85"/>
      <c r="B50" s="227"/>
      <c r="C50" s="227"/>
      <c r="D50" s="227"/>
      <c r="E50" s="227"/>
      <c r="F50" s="227"/>
      <c r="G50" s="227"/>
      <c r="H50" s="227"/>
      <c r="I50" s="227"/>
      <c r="J50" s="86"/>
    </row>
    <row r="51" spans="1:10" x14ac:dyDescent="0.3">
      <c r="A51" s="85"/>
      <c r="B51" s="227"/>
      <c r="C51" s="227"/>
      <c r="D51" s="227"/>
      <c r="E51" s="227"/>
      <c r="F51" s="227"/>
      <c r="G51" s="227"/>
      <c r="H51" s="227"/>
      <c r="I51" s="227"/>
      <c r="J51" s="86"/>
    </row>
    <row r="52" spans="1:10" x14ac:dyDescent="0.3">
      <c r="A52" s="85"/>
      <c r="B52" s="227"/>
      <c r="C52" s="227"/>
      <c r="D52" s="227"/>
      <c r="E52" s="227"/>
      <c r="F52" s="227"/>
      <c r="G52" s="227"/>
      <c r="H52" s="227"/>
      <c r="I52" s="227"/>
      <c r="J52" s="86"/>
    </row>
    <row r="53" spans="1:10" x14ac:dyDescent="0.3">
      <c r="A53" s="85"/>
      <c r="B53" s="227"/>
      <c r="C53" s="227"/>
      <c r="D53" s="227"/>
      <c r="E53" s="227"/>
      <c r="F53" s="227"/>
      <c r="G53" s="227"/>
      <c r="H53" s="227"/>
      <c r="I53" s="227"/>
      <c r="J53" s="86"/>
    </row>
    <row r="54" spans="1:10" x14ac:dyDescent="0.3">
      <c r="A54" s="85"/>
      <c r="B54" s="227"/>
      <c r="C54" s="227"/>
      <c r="D54" s="227"/>
      <c r="E54" s="227"/>
      <c r="F54" s="227"/>
      <c r="G54" s="227"/>
      <c r="H54" s="227"/>
      <c r="I54" s="227"/>
      <c r="J54" s="86"/>
    </row>
    <row r="55" spans="1:10" x14ac:dyDescent="0.3">
      <c r="A55" s="85"/>
      <c r="B55" s="227"/>
      <c r="C55" s="227"/>
      <c r="D55" s="227"/>
      <c r="E55" s="227"/>
      <c r="F55" s="227"/>
      <c r="G55" s="227"/>
      <c r="H55" s="227"/>
      <c r="I55" s="227"/>
      <c r="J55" s="86"/>
    </row>
    <row r="56" spans="1:10" x14ac:dyDescent="0.3">
      <c r="A56" s="85"/>
      <c r="B56" s="227"/>
      <c r="C56" s="227"/>
      <c r="D56" s="227"/>
      <c r="E56" s="227"/>
      <c r="F56" s="227"/>
      <c r="G56" s="227"/>
      <c r="H56" s="227"/>
      <c r="I56" s="227"/>
      <c r="J56" s="86"/>
    </row>
    <row r="57" spans="1:10" x14ac:dyDescent="0.3">
      <c r="A57" s="85"/>
      <c r="B57" s="227"/>
      <c r="C57" s="227"/>
      <c r="D57" s="227"/>
      <c r="E57" s="227"/>
      <c r="F57" s="227"/>
      <c r="G57" s="227"/>
      <c r="H57" s="227"/>
      <c r="I57" s="227"/>
      <c r="J57" s="86"/>
    </row>
    <row r="58" spans="1:10" x14ac:dyDescent="0.3">
      <c r="A58" s="85"/>
      <c r="B58" s="232" t="s">
        <v>595</v>
      </c>
      <c r="C58" s="232"/>
      <c r="D58" s="232"/>
      <c r="E58" s="232"/>
      <c r="F58" s="232"/>
      <c r="G58" s="232"/>
      <c r="H58" s="232"/>
      <c r="I58" s="232"/>
      <c r="J58" s="86"/>
    </row>
    <row r="59" spans="1:10" x14ac:dyDescent="0.3">
      <c r="A59" s="85"/>
      <c r="B59" s="227"/>
      <c r="C59" s="227"/>
      <c r="D59" s="227"/>
      <c r="E59" s="227"/>
      <c r="F59" s="227"/>
      <c r="G59" s="227"/>
      <c r="H59" s="227"/>
      <c r="I59" s="227"/>
      <c r="J59" s="86"/>
    </row>
    <row r="60" spans="1:10" ht="14.4" thickBot="1" x14ac:dyDescent="0.35">
      <c r="A60" s="82"/>
      <c r="B60" s="231"/>
      <c r="C60" s="231"/>
      <c r="D60" s="231"/>
      <c r="E60" s="231"/>
      <c r="F60" s="231"/>
      <c r="G60" s="231"/>
      <c r="H60" s="231"/>
      <c r="I60" s="231"/>
      <c r="J60" s="84"/>
    </row>
  </sheetData>
  <mergeCells count="52">
    <mergeCell ref="B59:I59"/>
    <mergeCell ref="B60:I60"/>
    <mergeCell ref="B57:I57"/>
    <mergeCell ref="B58:I58"/>
    <mergeCell ref="B51:I51"/>
    <mergeCell ref="B52:I52"/>
    <mergeCell ref="B53:I53"/>
    <mergeCell ref="B54:I54"/>
    <mergeCell ref="B55:I55"/>
    <mergeCell ref="B56:I56"/>
    <mergeCell ref="B50:I50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49:I49"/>
    <mergeCell ref="B38:I38"/>
    <mergeCell ref="B19:I19"/>
    <mergeCell ref="B20:I20"/>
    <mergeCell ref="B21:I21"/>
    <mergeCell ref="B22:I22"/>
    <mergeCell ref="B23:I23"/>
    <mergeCell ref="B24:I24"/>
    <mergeCell ref="B25:I25"/>
    <mergeCell ref="B26:I34"/>
    <mergeCell ref="B35:I35"/>
    <mergeCell ref="B36:I36"/>
    <mergeCell ref="B37:I37"/>
    <mergeCell ref="B18:I18"/>
    <mergeCell ref="B7:H7"/>
    <mergeCell ref="B8:H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6:H6"/>
    <mergeCell ref="B1:H1"/>
    <mergeCell ref="B2:H2"/>
    <mergeCell ref="B3:H3"/>
    <mergeCell ref="B4:H4"/>
    <mergeCell ref="B5:H5"/>
  </mergeCells>
  <printOptions horizontalCentered="1"/>
  <pageMargins left="0.78740157480314965" right="0.59055118110236227" top="0.78740157480314965" bottom="0.98425196850393704" header="0.31496062992125984" footer="0.31496062992125984"/>
  <pageSetup paperSize="9" scale="9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8027-9828-4D73-B098-BB2EC7403AD4}">
  <sheetPr>
    <pageSetUpPr fitToPage="1"/>
  </sheetPr>
  <dimension ref="A1:J52"/>
  <sheetViews>
    <sheetView tabSelected="1" view="pageBreakPreview" zoomScaleNormal="100" zoomScaleSheetLayoutView="100" workbookViewId="0">
      <selection activeCell="F12" sqref="F12"/>
    </sheetView>
  </sheetViews>
  <sheetFormatPr defaultColWidth="9.109375" defaultRowHeight="13.8" x14ac:dyDescent="0.3"/>
  <cols>
    <col min="1" max="16384" width="9.109375" style="185"/>
  </cols>
  <sheetData>
    <row r="1" spans="1:10" x14ac:dyDescent="0.3">
      <c r="A1" s="481" t="s">
        <v>400</v>
      </c>
      <c r="B1" s="481"/>
      <c r="C1" s="481"/>
      <c r="D1" s="481"/>
      <c r="E1" s="481"/>
      <c r="F1" s="481" t="s">
        <v>400</v>
      </c>
      <c r="G1" s="481"/>
      <c r="H1" s="482"/>
      <c r="I1" s="483" t="s">
        <v>401</v>
      </c>
      <c r="J1" s="484"/>
    </row>
    <row r="2" spans="1:10" x14ac:dyDescent="0.3">
      <c r="A2" s="481"/>
      <c r="B2" s="481"/>
      <c r="C2" s="481"/>
      <c r="D2" s="481"/>
      <c r="E2" s="481"/>
      <c r="F2" s="481"/>
      <c r="G2" s="481"/>
      <c r="H2" s="482"/>
      <c r="I2" s="485" t="s">
        <v>402</v>
      </c>
      <c r="J2" s="486"/>
    </row>
    <row r="3" spans="1:10" x14ac:dyDescent="0.3">
      <c r="A3" s="161"/>
      <c r="B3" s="162"/>
      <c r="C3" s="162"/>
      <c r="D3" s="162"/>
      <c r="E3" s="162"/>
      <c r="F3" s="162"/>
      <c r="G3" s="162"/>
      <c r="H3" s="162"/>
      <c r="I3" s="162"/>
      <c r="J3" s="163"/>
    </row>
    <row r="4" spans="1:10" x14ac:dyDescent="0.3">
      <c r="A4" s="467" t="s">
        <v>403</v>
      </c>
      <c r="B4" s="468"/>
      <c r="C4" s="468" t="s">
        <v>404</v>
      </c>
      <c r="D4" s="468"/>
      <c r="E4" s="468" t="s">
        <v>405</v>
      </c>
      <c r="F4" s="468"/>
      <c r="G4" s="468"/>
      <c r="H4" s="468"/>
      <c r="I4" s="468"/>
      <c r="J4" s="469"/>
    </row>
    <row r="5" spans="1:10" x14ac:dyDescent="0.3">
      <c r="A5" s="464"/>
      <c r="B5" s="465"/>
      <c r="C5" s="465"/>
      <c r="D5" s="465"/>
      <c r="E5" s="465" t="s">
        <v>12</v>
      </c>
      <c r="F5" s="465"/>
      <c r="G5" s="465"/>
      <c r="H5" s="465"/>
      <c r="I5" s="465"/>
      <c r="J5" s="466"/>
    </row>
    <row r="6" spans="1:10" x14ac:dyDescent="0.3">
      <c r="A6" s="164"/>
      <c r="B6" s="165"/>
      <c r="C6" s="165"/>
      <c r="D6" s="165"/>
      <c r="E6" s="165"/>
      <c r="F6" s="165"/>
      <c r="G6" s="165"/>
      <c r="H6" s="165"/>
      <c r="I6" s="165"/>
      <c r="J6" s="166"/>
    </row>
    <row r="7" spans="1:10" x14ac:dyDescent="0.3">
      <c r="A7" s="467" t="s">
        <v>406</v>
      </c>
      <c r="B7" s="468"/>
      <c r="C7" s="468"/>
      <c r="D7" s="468"/>
      <c r="E7" s="468"/>
      <c r="F7" s="468"/>
      <c r="G7" s="468"/>
      <c r="H7" s="468"/>
      <c r="I7" s="468"/>
      <c r="J7" s="469"/>
    </row>
    <row r="8" spans="1:10" x14ac:dyDescent="0.3">
      <c r="A8" s="470" t="s">
        <v>641</v>
      </c>
      <c r="B8" s="471"/>
      <c r="C8" s="471"/>
      <c r="D8" s="471"/>
      <c r="E8" s="471"/>
      <c r="F8" s="471"/>
      <c r="G8" s="471"/>
      <c r="H8" s="471"/>
      <c r="I8" s="471"/>
      <c r="J8" s="472"/>
    </row>
    <row r="9" spans="1:10" x14ac:dyDescent="0.3">
      <c r="A9" s="164"/>
      <c r="B9" s="165"/>
      <c r="C9" s="165"/>
      <c r="D9" s="165"/>
      <c r="E9" s="165"/>
      <c r="F9" s="165"/>
      <c r="G9" s="165"/>
      <c r="H9" s="165"/>
      <c r="I9" s="165"/>
      <c r="J9" s="166"/>
    </row>
    <row r="10" spans="1:10" x14ac:dyDescent="0.3">
      <c r="A10" s="440" t="s">
        <v>407</v>
      </c>
      <c r="B10" s="441"/>
      <c r="C10" s="441"/>
      <c r="D10" s="441"/>
      <c r="E10" s="441"/>
      <c r="F10" s="441"/>
      <c r="G10" s="441"/>
      <c r="H10" s="441"/>
      <c r="I10" s="473">
        <v>0.5</v>
      </c>
      <c r="J10" s="474"/>
    </row>
    <row r="11" spans="1:10" x14ac:dyDescent="0.3">
      <c r="A11" s="475" t="s">
        <v>408</v>
      </c>
      <c r="B11" s="476"/>
      <c r="C11" s="476"/>
      <c r="D11" s="476"/>
      <c r="E11" s="476"/>
      <c r="F11" s="476"/>
      <c r="G11" s="476"/>
      <c r="H11" s="476"/>
      <c r="I11" s="473">
        <v>0.05</v>
      </c>
      <c r="J11" s="474"/>
    </row>
    <row r="12" spans="1:10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9"/>
    </row>
    <row r="13" spans="1:10" x14ac:dyDescent="0.3">
      <c r="A13" s="161"/>
      <c r="B13" s="162"/>
      <c r="C13" s="162"/>
      <c r="D13" s="162"/>
      <c r="E13" s="162"/>
      <c r="F13" s="162"/>
      <c r="G13" s="162"/>
      <c r="H13" s="162"/>
      <c r="I13" s="162"/>
      <c r="J13" s="163"/>
    </row>
    <row r="14" spans="1:10" x14ac:dyDescent="0.3">
      <c r="A14" s="461" t="s">
        <v>409</v>
      </c>
      <c r="B14" s="462"/>
      <c r="C14" s="462"/>
      <c r="D14" s="462"/>
      <c r="E14" s="462"/>
      <c r="F14" s="462"/>
      <c r="G14" s="462"/>
      <c r="H14" s="462"/>
      <c r="I14" s="462"/>
      <c r="J14" s="477"/>
    </row>
    <row r="15" spans="1:10" x14ac:dyDescent="0.3">
      <c r="A15" s="161"/>
      <c r="B15" s="162"/>
      <c r="C15" s="162"/>
      <c r="D15" s="162"/>
      <c r="E15" s="162"/>
      <c r="F15" s="162"/>
      <c r="G15" s="162"/>
      <c r="H15" s="162"/>
      <c r="I15" s="162"/>
      <c r="J15" s="163"/>
    </row>
    <row r="16" spans="1:10" x14ac:dyDescent="0.3">
      <c r="A16" s="467" t="s">
        <v>410</v>
      </c>
      <c r="B16" s="468"/>
      <c r="C16" s="468"/>
      <c r="D16" s="468"/>
      <c r="E16" s="468"/>
      <c r="F16" s="468"/>
      <c r="G16" s="468"/>
      <c r="H16" s="468"/>
      <c r="I16" s="468"/>
      <c r="J16" s="469"/>
    </row>
    <row r="17" spans="1:10" x14ac:dyDescent="0.3">
      <c r="A17" s="478" t="s">
        <v>411</v>
      </c>
      <c r="B17" s="479"/>
      <c r="C17" s="479"/>
      <c r="D17" s="479"/>
      <c r="E17" s="479"/>
      <c r="F17" s="479"/>
      <c r="G17" s="479"/>
      <c r="H17" s="479"/>
      <c r="I17" s="479"/>
      <c r="J17" s="480"/>
    </row>
    <row r="18" spans="1:10" x14ac:dyDescent="0.3">
      <c r="A18" s="161"/>
      <c r="B18" s="162"/>
      <c r="C18" s="162"/>
      <c r="D18" s="162"/>
      <c r="E18" s="162"/>
      <c r="F18" s="162"/>
      <c r="G18" s="162"/>
      <c r="H18" s="162"/>
      <c r="I18" s="162"/>
      <c r="J18" s="163"/>
    </row>
    <row r="19" spans="1:10" x14ac:dyDescent="0.3">
      <c r="A19" s="461" t="s">
        <v>412</v>
      </c>
      <c r="B19" s="462"/>
      <c r="C19" s="462"/>
      <c r="D19" s="462"/>
      <c r="E19" s="462"/>
      <c r="F19" s="462"/>
      <c r="G19" s="462"/>
      <c r="H19" s="462"/>
      <c r="I19" s="462" t="s">
        <v>413</v>
      </c>
      <c r="J19" s="463" t="s">
        <v>414</v>
      </c>
    </row>
    <row r="20" spans="1:10" x14ac:dyDescent="0.3">
      <c r="A20" s="461"/>
      <c r="B20" s="462"/>
      <c r="C20" s="462"/>
      <c r="D20" s="462"/>
      <c r="E20" s="462"/>
      <c r="F20" s="462"/>
      <c r="G20" s="462"/>
      <c r="H20" s="462"/>
      <c r="I20" s="462"/>
      <c r="J20" s="463"/>
    </row>
    <row r="21" spans="1:10" x14ac:dyDescent="0.3">
      <c r="A21" s="455" t="s">
        <v>415</v>
      </c>
      <c r="B21" s="456"/>
      <c r="C21" s="456"/>
      <c r="D21" s="456"/>
      <c r="E21" s="456"/>
      <c r="F21" s="456"/>
      <c r="G21" s="456"/>
      <c r="H21" s="456"/>
      <c r="I21" s="105" t="s">
        <v>416</v>
      </c>
      <c r="J21" s="187">
        <v>0.04</v>
      </c>
    </row>
    <row r="22" spans="1:10" x14ac:dyDescent="0.3">
      <c r="A22" s="455" t="s">
        <v>417</v>
      </c>
      <c r="B22" s="456"/>
      <c r="C22" s="456"/>
      <c r="D22" s="456"/>
      <c r="E22" s="456"/>
      <c r="F22" s="456"/>
      <c r="G22" s="456"/>
      <c r="H22" s="456"/>
      <c r="I22" s="105" t="s">
        <v>418</v>
      </c>
      <c r="J22" s="187">
        <v>8.0000000000000002E-3</v>
      </c>
    </row>
    <row r="23" spans="1:10" x14ac:dyDescent="0.3">
      <c r="A23" s="455" t="s">
        <v>419</v>
      </c>
      <c r="B23" s="456"/>
      <c r="C23" s="456"/>
      <c r="D23" s="456"/>
      <c r="E23" s="456"/>
      <c r="F23" s="456"/>
      <c r="G23" s="456"/>
      <c r="H23" s="456"/>
      <c r="I23" s="105" t="s">
        <v>420</v>
      </c>
      <c r="J23" s="187">
        <v>1.2699999999999999E-2</v>
      </c>
    </row>
    <row r="24" spans="1:10" x14ac:dyDescent="0.3">
      <c r="A24" s="455" t="s">
        <v>421</v>
      </c>
      <c r="B24" s="456"/>
      <c r="C24" s="456"/>
      <c r="D24" s="456"/>
      <c r="E24" s="456"/>
      <c r="F24" s="456"/>
      <c r="G24" s="456"/>
      <c r="H24" s="456"/>
      <c r="I24" s="105" t="s">
        <v>422</v>
      </c>
      <c r="J24" s="187">
        <v>1.23E-2</v>
      </c>
    </row>
    <row r="25" spans="1:10" x14ac:dyDescent="0.3">
      <c r="A25" s="455" t="s">
        <v>423</v>
      </c>
      <c r="B25" s="456"/>
      <c r="C25" s="456"/>
      <c r="D25" s="456"/>
      <c r="E25" s="456"/>
      <c r="F25" s="456"/>
      <c r="G25" s="456"/>
      <c r="H25" s="456"/>
      <c r="I25" s="105" t="s">
        <v>424</v>
      </c>
      <c r="J25" s="187">
        <v>7.3999999999999996E-2</v>
      </c>
    </row>
    <row r="26" spans="1:10" x14ac:dyDescent="0.3">
      <c r="A26" s="455" t="s">
        <v>425</v>
      </c>
      <c r="B26" s="456"/>
      <c r="C26" s="456"/>
      <c r="D26" s="456"/>
      <c r="E26" s="456"/>
      <c r="F26" s="456"/>
      <c r="G26" s="456"/>
      <c r="H26" s="456"/>
      <c r="I26" s="105" t="s">
        <v>426</v>
      </c>
      <c r="J26" s="187">
        <v>3.6499999999999998E-2</v>
      </c>
    </row>
    <row r="27" spans="1:10" x14ac:dyDescent="0.3">
      <c r="A27" s="455" t="s">
        <v>427</v>
      </c>
      <c r="B27" s="456"/>
      <c r="C27" s="456"/>
      <c r="D27" s="456"/>
      <c r="E27" s="456"/>
      <c r="F27" s="456"/>
      <c r="G27" s="456"/>
      <c r="H27" s="456"/>
      <c r="I27" s="105" t="s">
        <v>428</v>
      </c>
      <c r="J27" s="170">
        <v>2.5000000000000001E-2</v>
      </c>
    </row>
    <row r="28" spans="1:10" x14ac:dyDescent="0.3">
      <c r="A28" s="455" t="s">
        <v>429</v>
      </c>
      <c r="B28" s="456"/>
      <c r="C28" s="456"/>
      <c r="D28" s="456"/>
      <c r="E28" s="456"/>
      <c r="F28" s="456"/>
      <c r="G28" s="456"/>
      <c r="H28" s="456"/>
      <c r="I28" s="105" t="s">
        <v>430</v>
      </c>
      <c r="J28" s="170">
        <v>4.4999999999999998E-2</v>
      </c>
    </row>
    <row r="29" spans="1:10" x14ac:dyDescent="0.3">
      <c r="A29" s="455" t="s">
        <v>431</v>
      </c>
      <c r="B29" s="456"/>
      <c r="C29" s="456"/>
      <c r="D29" s="456"/>
      <c r="E29" s="456"/>
      <c r="F29" s="456"/>
      <c r="G29" s="456"/>
      <c r="H29" s="456"/>
      <c r="I29" s="106" t="s">
        <v>432</v>
      </c>
      <c r="J29" s="170">
        <v>0.2288</v>
      </c>
    </row>
    <row r="30" spans="1:10" x14ac:dyDescent="0.3">
      <c r="A30" s="457" t="s">
        <v>433</v>
      </c>
      <c r="B30" s="458"/>
      <c r="C30" s="458"/>
      <c r="D30" s="458"/>
      <c r="E30" s="458"/>
      <c r="F30" s="458"/>
      <c r="G30" s="458"/>
      <c r="H30" s="458"/>
      <c r="I30" s="191" t="s">
        <v>434</v>
      </c>
      <c r="J30" s="220">
        <f>( ((1+J21+J22+J23)*(1+J24)*(1+J25))/(1-J26-J27-J28))-1</f>
        <v>0.29070000000000001</v>
      </c>
    </row>
    <row r="31" spans="1:10" x14ac:dyDescent="0.3">
      <c r="A31" s="161"/>
      <c r="B31" s="162"/>
      <c r="C31" s="162"/>
      <c r="D31" s="162"/>
      <c r="E31" s="162"/>
      <c r="F31" s="162"/>
      <c r="G31" s="162"/>
      <c r="H31" s="162"/>
      <c r="I31" s="162"/>
      <c r="J31" s="163"/>
    </row>
    <row r="32" spans="1:10" x14ac:dyDescent="0.3">
      <c r="A32" s="171" t="s">
        <v>435</v>
      </c>
      <c r="B32" s="459" t="s">
        <v>435</v>
      </c>
      <c r="C32" s="459"/>
      <c r="D32" s="459"/>
      <c r="E32" s="459"/>
      <c r="F32" s="459"/>
      <c r="G32" s="459"/>
      <c r="H32" s="459"/>
      <c r="I32" s="459"/>
      <c r="J32" s="460"/>
    </row>
    <row r="33" spans="1:10" x14ac:dyDescent="0.3">
      <c r="A33" s="161"/>
      <c r="B33" s="162"/>
      <c r="C33" s="162"/>
      <c r="D33" s="162"/>
      <c r="E33" s="162"/>
      <c r="F33" s="162"/>
      <c r="G33" s="162"/>
      <c r="H33" s="162"/>
      <c r="I33" s="162"/>
      <c r="J33" s="163"/>
    </row>
    <row r="34" spans="1:10" x14ac:dyDescent="0.3">
      <c r="A34" s="452" t="s">
        <v>436</v>
      </c>
      <c r="B34" s="453"/>
      <c r="C34" s="453"/>
      <c r="D34" s="453"/>
      <c r="E34" s="453"/>
      <c r="F34" s="453"/>
      <c r="G34" s="453"/>
      <c r="H34" s="453"/>
      <c r="I34" s="453"/>
      <c r="J34" s="454"/>
    </row>
    <row r="35" spans="1:10" x14ac:dyDescent="0.3">
      <c r="A35" s="188"/>
      <c r="B35" s="189"/>
      <c r="C35" s="189"/>
      <c r="D35" s="436" t="s">
        <v>437</v>
      </c>
      <c r="E35" s="437" t="s">
        <v>438</v>
      </c>
      <c r="F35" s="437"/>
      <c r="G35" s="437"/>
      <c r="H35" s="438" t="s">
        <v>439</v>
      </c>
      <c r="I35" s="189"/>
      <c r="J35" s="190"/>
    </row>
    <row r="36" spans="1:10" x14ac:dyDescent="0.3">
      <c r="A36" s="188"/>
      <c r="B36" s="189"/>
      <c r="C36" s="189"/>
      <c r="D36" s="436"/>
      <c r="E36" s="439" t="s">
        <v>440</v>
      </c>
      <c r="F36" s="439"/>
      <c r="G36" s="439"/>
      <c r="H36" s="438"/>
      <c r="I36" s="189"/>
      <c r="J36" s="190"/>
    </row>
    <row r="37" spans="1:10" x14ac:dyDescent="0.3">
      <c r="A37" s="172"/>
      <c r="B37" s="173"/>
      <c r="C37" s="173"/>
      <c r="D37" s="173"/>
      <c r="E37" s="173"/>
      <c r="F37" s="173"/>
      <c r="G37" s="173"/>
      <c r="H37" s="173"/>
      <c r="I37" s="173"/>
      <c r="J37" s="174"/>
    </row>
    <row r="38" spans="1:10" ht="25.5" customHeight="1" x14ac:dyDescent="0.3">
      <c r="A38" s="440" t="s">
        <v>441</v>
      </c>
      <c r="B38" s="441"/>
      <c r="C38" s="441"/>
      <c r="D38" s="441"/>
      <c r="E38" s="441"/>
      <c r="F38" s="441"/>
      <c r="G38" s="441"/>
      <c r="H38" s="441"/>
      <c r="I38" s="441"/>
      <c r="J38" s="442"/>
    </row>
    <row r="39" spans="1:10" x14ac:dyDescent="0.3">
      <c r="A39" s="161"/>
      <c r="B39" s="162"/>
      <c r="C39" s="162"/>
      <c r="D39" s="162"/>
      <c r="E39" s="162"/>
      <c r="F39" s="162"/>
      <c r="G39" s="162"/>
      <c r="H39" s="162"/>
      <c r="I39" s="162"/>
      <c r="J39" s="163"/>
    </row>
    <row r="40" spans="1:10" ht="25.5" customHeight="1" x14ac:dyDescent="0.3">
      <c r="A40" s="440" t="s">
        <v>442</v>
      </c>
      <c r="B40" s="441"/>
      <c r="C40" s="441"/>
      <c r="D40" s="441"/>
      <c r="E40" s="441"/>
      <c r="F40" s="441"/>
      <c r="G40" s="441"/>
      <c r="H40" s="441"/>
      <c r="I40" s="441"/>
      <c r="J40" s="442"/>
    </row>
    <row r="41" spans="1:10" x14ac:dyDescent="0.3">
      <c r="A41" s="161"/>
      <c r="B41" s="162"/>
      <c r="C41" s="162"/>
      <c r="D41" s="162"/>
      <c r="E41" s="162"/>
      <c r="F41" s="162"/>
      <c r="G41" s="162"/>
      <c r="H41" s="162"/>
      <c r="I41" s="162"/>
      <c r="J41" s="163"/>
    </row>
    <row r="42" spans="1:10" x14ac:dyDescent="0.3">
      <c r="A42" s="161" t="s">
        <v>443</v>
      </c>
      <c r="B42" s="162"/>
      <c r="C42" s="162"/>
      <c r="D42" s="162"/>
      <c r="E42" s="162"/>
      <c r="F42" s="162"/>
      <c r="G42" s="162"/>
      <c r="H42" s="162"/>
      <c r="I42" s="162"/>
      <c r="J42" s="163"/>
    </row>
    <row r="43" spans="1:10" ht="50.1" customHeight="1" x14ac:dyDescent="0.3">
      <c r="A43" s="443"/>
      <c r="B43" s="444"/>
      <c r="C43" s="444"/>
      <c r="D43" s="444"/>
      <c r="E43" s="444"/>
      <c r="F43" s="444"/>
      <c r="G43" s="444"/>
      <c r="H43" s="444"/>
      <c r="I43" s="444"/>
      <c r="J43" s="445"/>
    </row>
    <row r="44" spans="1:10" x14ac:dyDescent="0.3">
      <c r="A44" s="161"/>
      <c r="B44" s="162"/>
      <c r="C44" s="162"/>
      <c r="D44" s="162"/>
      <c r="E44" s="162"/>
      <c r="F44" s="162"/>
      <c r="G44" s="162"/>
      <c r="H44" s="162"/>
      <c r="I44" s="162"/>
      <c r="J44" s="163"/>
    </row>
    <row r="45" spans="1:10" x14ac:dyDescent="0.3">
      <c r="A45" s="446" t="s">
        <v>444</v>
      </c>
      <c r="B45" s="447"/>
      <c r="C45" s="447"/>
      <c r="D45" s="447"/>
      <c r="E45" s="162"/>
      <c r="F45" s="162"/>
      <c r="G45" s="448">
        <v>45502</v>
      </c>
      <c r="H45" s="448"/>
      <c r="I45" s="448"/>
      <c r="J45" s="449"/>
    </row>
    <row r="46" spans="1:10" x14ac:dyDescent="0.3">
      <c r="A46" s="450" t="s">
        <v>445</v>
      </c>
      <c r="B46" s="451"/>
      <c r="C46" s="451"/>
      <c r="D46" s="451"/>
      <c r="E46" s="162"/>
      <c r="F46" s="175"/>
      <c r="G46" s="107" t="s">
        <v>446</v>
      </c>
      <c r="H46" s="108"/>
      <c r="I46" s="108"/>
      <c r="J46" s="176"/>
    </row>
    <row r="47" spans="1:10" x14ac:dyDescent="0.3">
      <c r="A47" s="161"/>
      <c r="B47" s="162"/>
      <c r="C47" s="162"/>
      <c r="D47" s="162"/>
      <c r="E47" s="162"/>
      <c r="F47" s="162"/>
      <c r="G47" s="162"/>
      <c r="H47" s="162"/>
      <c r="I47" s="162"/>
      <c r="J47" s="163"/>
    </row>
    <row r="48" spans="1:10" x14ac:dyDescent="0.3">
      <c r="A48" s="450"/>
      <c r="B48" s="451"/>
      <c r="C48" s="451"/>
      <c r="D48" s="451"/>
      <c r="E48" s="177"/>
      <c r="F48" s="162"/>
      <c r="G48" s="162"/>
      <c r="H48" s="162"/>
      <c r="I48" s="162"/>
      <c r="J48" s="163"/>
    </row>
    <row r="49" spans="1:10" x14ac:dyDescent="0.3">
      <c r="A49" s="434" t="s">
        <v>447</v>
      </c>
      <c r="B49" s="435"/>
      <c r="C49" s="435"/>
      <c r="D49" s="435"/>
      <c r="E49" s="162"/>
      <c r="F49" s="162"/>
      <c r="G49" s="162"/>
      <c r="H49" s="162"/>
      <c r="I49" s="162"/>
      <c r="J49" s="163"/>
    </row>
    <row r="50" spans="1:10" x14ac:dyDescent="0.3">
      <c r="A50" s="178" t="s">
        <v>448</v>
      </c>
      <c r="B50" s="162" t="s">
        <v>618</v>
      </c>
      <c r="C50" s="179"/>
      <c r="D50" s="179"/>
      <c r="E50" s="177"/>
      <c r="F50" s="162"/>
      <c r="G50" s="162"/>
      <c r="H50" s="162"/>
      <c r="I50" s="162"/>
      <c r="J50" s="163"/>
    </row>
    <row r="51" spans="1:10" x14ac:dyDescent="0.3">
      <c r="A51" s="178" t="s">
        <v>449</v>
      </c>
      <c r="B51" s="162" t="s">
        <v>621</v>
      </c>
      <c r="C51" s="179"/>
      <c r="D51" s="179"/>
      <c r="E51" s="177"/>
      <c r="F51" s="162"/>
      <c r="G51" s="162"/>
      <c r="H51" s="162"/>
      <c r="I51" s="162"/>
      <c r="J51" s="163"/>
    </row>
    <row r="52" spans="1:10" x14ac:dyDescent="0.3">
      <c r="A52" s="223"/>
      <c r="B52" s="162"/>
      <c r="C52" s="179"/>
      <c r="D52" s="179"/>
      <c r="E52" s="177"/>
      <c r="F52" s="162"/>
      <c r="G52" s="162"/>
      <c r="H52" s="162"/>
      <c r="I52" s="162"/>
      <c r="J52" s="162"/>
    </row>
  </sheetData>
  <mergeCells count="45">
    <mergeCell ref="A1:H2"/>
    <mergeCell ref="I1:J1"/>
    <mergeCell ref="I2:J2"/>
    <mergeCell ref="A4:B4"/>
    <mergeCell ref="C4:D4"/>
    <mergeCell ref="E4:J4"/>
    <mergeCell ref="A19:H20"/>
    <mergeCell ref="I19:I20"/>
    <mergeCell ref="J19:J20"/>
    <mergeCell ref="A5:B5"/>
    <mergeCell ref="C5:D5"/>
    <mergeCell ref="E5:J5"/>
    <mergeCell ref="A7:J7"/>
    <mergeCell ref="A8:J8"/>
    <mergeCell ref="A10:H10"/>
    <mergeCell ref="I10:J10"/>
    <mergeCell ref="A11:H11"/>
    <mergeCell ref="I11:J11"/>
    <mergeCell ref="A14:J14"/>
    <mergeCell ref="A16:J16"/>
    <mergeCell ref="A17:J17"/>
    <mergeCell ref="A34:J34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B32:J32"/>
    <mergeCell ref="A49:D49"/>
    <mergeCell ref="D35:D36"/>
    <mergeCell ref="E35:G35"/>
    <mergeCell ref="H35:H36"/>
    <mergeCell ref="E36:G36"/>
    <mergeCell ref="A38:J38"/>
    <mergeCell ref="A40:J40"/>
    <mergeCell ref="A43:J43"/>
    <mergeCell ref="A45:D45"/>
    <mergeCell ref="G45:J45"/>
    <mergeCell ref="A46:D46"/>
    <mergeCell ref="A48:D48"/>
  </mergeCells>
  <conditionalFormatting sqref="A30:J30">
    <cfRule type="expression" dxfId="1" priority="1" stopIfTrue="1">
      <formula>DESONERACAO="não"</formula>
    </cfRule>
  </conditionalFormatting>
  <conditionalFormatting sqref="J29">
    <cfRule type="expression" dxfId="0" priority="2" stopIfTrue="1">
      <formula>DESONERACAO="não"</formula>
    </cfRule>
  </conditionalFormatting>
  <printOptions horizontalCentered="1"/>
  <pageMargins left="0.51181102362204722" right="0.51181102362204722" top="0.78740157480314965" bottom="0.98425196850393704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FF5E-09A8-4C51-A7F7-19BB016923E5}">
  <sheetPr>
    <pageSetUpPr fitToPage="1"/>
  </sheetPr>
  <dimension ref="B2:J49"/>
  <sheetViews>
    <sheetView view="pageBreakPreview" zoomScale="110" zoomScaleNormal="100" zoomScaleSheetLayoutView="110" workbookViewId="0">
      <selection activeCell="M58" sqref="M58"/>
    </sheetView>
  </sheetViews>
  <sheetFormatPr defaultColWidth="9.109375" defaultRowHeight="13.8" x14ac:dyDescent="0.3"/>
  <cols>
    <col min="1" max="1" width="4.6640625" style="77" customWidth="1"/>
    <col min="2" max="2" width="7.6640625" style="77" bestFit="1" customWidth="1"/>
    <col min="3" max="3" width="29.44140625" style="77" customWidth="1"/>
    <col min="4" max="4" width="10.33203125" style="77" customWidth="1"/>
    <col min="5" max="5" width="15.44140625" style="77" customWidth="1"/>
    <col min="6" max="6" width="10.109375" style="77" customWidth="1"/>
    <col min="7" max="7" width="14.88671875" style="77" customWidth="1"/>
    <col min="8" max="8" width="4.6640625" style="77" customWidth="1"/>
    <col min="9" max="16384" width="9.109375" style="77"/>
  </cols>
  <sheetData>
    <row r="2" spans="2:7" x14ac:dyDescent="0.3">
      <c r="B2" s="487" t="s">
        <v>321</v>
      </c>
      <c r="C2" s="487"/>
      <c r="D2" s="487"/>
      <c r="E2" s="487"/>
      <c r="F2" s="487"/>
      <c r="G2" s="487"/>
    </row>
    <row r="6" spans="2:7" x14ac:dyDescent="0.3">
      <c r="B6" s="488" t="s">
        <v>322</v>
      </c>
      <c r="C6" s="488"/>
      <c r="D6" s="488"/>
      <c r="E6" s="488"/>
      <c r="F6" s="488"/>
      <c r="G6" s="488"/>
    </row>
    <row r="9" spans="2:7" x14ac:dyDescent="0.3">
      <c r="B9" s="489" t="s">
        <v>323</v>
      </c>
      <c r="C9" s="490"/>
      <c r="D9" s="490"/>
      <c r="E9" s="490"/>
      <c r="F9" s="490"/>
      <c r="G9" s="491"/>
    </row>
    <row r="10" spans="2:7" x14ac:dyDescent="0.3">
      <c r="B10" s="492" t="s">
        <v>324</v>
      </c>
      <c r="C10" s="492" t="s">
        <v>325</v>
      </c>
      <c r="D10" s="494" t="s">
        <v>326</v>
      </c>
      <c r="E10" s="495"/>
      <c r="F10" s="494" t="s">
        <v>327</v>
      </c>
      <c r="G10" s="495"/>
    </row>
    <row r="11" spans="2:7" ht="27.6" x14ac:dyDescent="0.3">
      <c r="B11" s="493"/>
      <c r="C11" s="493"/>
      <c r="D11" s="87" t="s">
        <v>328</v>
      </c>
      <c r="E11" s="87" t="s">
        <v>329</v>
      </c>
      <c r="F11" s="87" t="s">
        <v>328</v>
      </c>
      <c r="G11" s="87" t="s">
        <v>329</v>
      </c>
    </row>
    <row r="12" spans="2:7" x14ac:dyDescent="0.3">
      <c r="B12" s="489" t="s">
        <v>330</v>
      </c>
      <c r="C12" s="490"/>
      <c r="D12" s="490"/>
      <c r="E12" s="490"/>
      <c r="F12" s="490"/>
      <c r="G12" s="491"/>
    </row>
    <row r="13" spans="2:7" x14ac:dyDescent="0.3">
      <c r="B13" s="88" t="s">
        <v>331</v>
      </c>
      <c r="C13" s="89" t="s">
        <v>332</v>
      </c>
      <c r="D13" s="90">
        <v>0</v>
      </c>
      <c r="E13" s="90">
        <v>0</v>
      </c>
      <c r="F13" s="90">
        <v>0.2</v>
      </c>
      <c r="G13" s="90">
        <v>0.2</v>
      </c>
    </row>
    <row r="14" spans="2:7" x14ac:dyDescent="0.3">
      <c r="B14" s="91" t="s">
        <v>333</v>
      </c>
      <c r="C14" s="92" t="s">
        <v>334</v>
      </c>
      <c r="D14" s="93">
        <v>1.4999999999999999E-2</v>
      </c>
      <c r="E14" s="93">
        <v>1.4999999999999999E-2</v>
      </c>
      <c r="F14" s="93">
        <v>1.4999999999999999E-2</v>
      </c>
      <c r="G14" s="93">
        <v>1.4999999999999999E-2</v>
      </c>
    </row>
    <row r="15" spans="2:7" x14ac:dyDescent="0.3">
      <c r="B15" s="88" t="s">
        <v>335</v>
      </c>
      <c r="C15" s="89" t="s">
        <v>336</v>
      </c>
      <c r="D15" s="90">
        <v>0.01</v>
      </c>
      <c r="E15" s="90">
        <v>0.01</v>
      </c>
      <c r="F15" s="90">
        <v>0.01</v>
      </c>
      <c r="G15" s="90">
        <v>0.01</v>
      </c>
    </row>
    <row r="16" spans="2:7" x14ac:dyDescent="0.3">
      <c r="B16" s="91" t="s">
        <v>337</v>
      </c>
      <c r="C16" s="92" t="s">
        <v>338</v>
      </c>
      <c r="D16" s="93">
        <v>2E-3</v>
      </c>
      <c r="E16" s="93">
        <v>2E-3</v>
      </c>
      <c r="F16" s="93">
        <v>2E-3</v>
      </c>
      <c r="G16" s="93">
        <v>2E-3</v>
      </c>
    </row>
    <row r="17" spans="2:7" x14ac:dyDescent="0.3">
      <c r="B17" s="88" t="s">
        <v>339</v>
      </c>
      <c r="C17" s="89" t="s">
        <v>340</v>
      </c>
      <c r="D17" s="90">
        <v>6.0000000000000001E-3</v>
      </c>
      <c r="E17" s="90">
        <v>6.0000000000000001E-3</v>
      </c>
      <c r="F17" s="90">
        <v>6.0000000000000001E-3</v>
      </c>
      <c r="G17" s="90">
        <v>6.0000000000000001E-3</v>
      </c>
    </row>
    <row r="18" spans="2:7" x14ac:dyDescent="0.3">
      <c r="B18" s="91" t="s">
        <v>341</v>
      </c>
      <c r="C18" s="92" t="s">
        <v>342</v>
      </c>
      <c r="D18" s="93">
        <v>2.5000000000000001E-2</v>
      </c>
      <c r="E18" s="93">
        <v>2.5000000000000001E-2</v>
      </c>
      <c r="F18" s="93">
        <v>2.5000000000000001E-2</v>
      </c>
      <c r="G18" s="93">
        <v>2.5000000000000001E-2</v>
      </c>
    </row>
    <row r="19" spans="2:7" x14ac:dyDescent="0.3">
      <c r="B19" s="88" t="s">
        <v>343</v>
      </c>
      <c r="C19" s="89" t="s">
        <v>344</v>
      </c>
      <c r="D19" s="90">
        <v>0.03</v>
      </c>
      <c r="E19" s="90">
        <v>0.03</v>
      </c>
      <c r="F19" s="90">
        <v>0.03</v>
      </c>
      <c r="G19" s="90">
        <v>0.03</v>
      </c>
    </row>
    <row r="20" spans="2:7" x14ac:dyDescent="0.3">
      <c r="B20" s="91" t="s">
        <v>345</v>
      </c>
      <c r="C20" s="92" t="s">
        <v>346</v>
      </c>
      <c r="D20" s="93">
        <v>0.08</v>
      </c>
      <c r="E20" s="93">
        <v>0.08</v>
      </c>
      <c r="F20" s="93">
        <v>0.08</v>
      </c>
      <c r="G20" s="93">
        <v>0.08</v>
      </c>
    </row>
    <row r="21" spans="2:7" x14ac:dyDescent="0.3">
      <c r="B21" s="88" t="s">
        <v>347</v>
      </c>
      <c r="C21" s="89" t="s">
        <v>348</v>
      </c>
      <c r="D21" s="90">
        <v>0</v>
      </c>
      <c r="E21" s="90">
        <v>0</v>
      </c>
      <c r="F21" s="90">
        <v>0</v>
      </c>
      <c r="G21" s="90">
        <v>0</v>
      </c>
    </row>
    <row r="22" spans="2:7" x14ac:dyDescent="0.3">
      <c r="B22" s="94" t="s">
        <v>349</v>
      </c>
      <c r="C22" s="94" t="s">
        <v>44</v>
      </c>
      <c r="D22" s="95">
        <v>0.16800000000000001</v>
      </c>
      <c r="E22" s="95">
        <v>0.16800000000000001</v>
      </c>
      <c r="F22" s="95">
        <v>0.36799999999999999</v>
      </c>
      <c r="G22" s="95">
        <v>0.36799999999999999</v>
      </c>
    </row>
    <row r="23" spans="2:7" x14ac:dyDescent="0.3">
      <c r="B23" s="489" t="s">
        <v>350</v>
      </c>
      <c r="C23" s="490"/>
      <c r="D23" s="490"/>
      <c r="E23" s="490"/>
      <c r="F23" s="490"/>
      <c r="G23" s="491"/>
    </row>
    <row r="24" spans="2:7" x14ac:dyDescent="0.3">
      <c r="B24" s="88" t="s">
        <v>351</v>
      </c>
      <c r="C24" s="89" t="s">
        <v>352</v>
      </c>
      <c r="D24" s="90">
        <v>0.18110000000000001</v>
      </c>
      <c r="E24" s="88" t="s">
        <v>353</v>
      </c>
      <c r="F24" s="90">
        <v>0.18110000000000001</v>
      </c>
      <c r="G24" s="88" t="s">
        <v>353</v>
      </c>
    </row>
    <row r="25" spans="2:7" x14ac:dyDescent="0.3">
      <c r="B25" s="91" t="s">
        <v>354</v>
      </c>
      <c r="C25" s="92" t="s">
        <v>355</v>
      </c>
      <c r="D25" s="93">
        <v>4.1500000000000002E-2</v>
      </c>
      <c r="E25" s="91" t="s">
        <v>353</v>
      </c>
      <c r="F25" s="93">
        <v>4.1500000000000002E-2</v>
      </c>
      <c r="G25" s="91" t="s">
        <v>353</v>
      </c>
    </row>
    <row r="26" spans="2:7" x14ac:dyDescent="0.3">
      <c r="B26" s="88" t="s">
        <v>356</v>
      </c>
      <c r="C26" s="89" t="s">
        <v>357</v>
      </c>
      <c r="D26" s="90">
        <v>9.1000000000000004E-3</v>
      </c>
      <c r="E26" s="90">
        <v>6.8999999999999999E-3</v>
      </c>
      <c r="F26" s="90">
        <v>9.1000000000000004E-3</v>
      </c>
      <c r="G26" s="90">
        <v>6.8999999999999999E-3</v>
      </c>
    </row>
    <row r="27" spans="2:7" x14ac:dyDescent="0.3">
      <c r="B27" s="91" t="s">
        <v>358</v>
      </c>
      <c r="C27" s="92" t="s">
        <v>359</v>
      </c>
      <c r="D27" s="93">
        <v>0.1094</v>
      </c>
      <c r="E27" s="93">
        <v>8.3299999999999999E-2</v>
      </c>
      <c r="F27" s="93">
        <v>0.1094</v>
      </c>
      <c r="G27" s="93">
        <v>8.3299999999999999E-2</v>
      </c>
    </row>
    <row r="28" spans="2:7" x14ac:dyDescent="0.3">
      <c r="B28" s="88" t="s">
        <v>360</v>
      </c>
      <c r="C28" s="89" t="s">
        <v>361</v>
      </c>
      <c r="D28" s="90">
        <v>6.9999999999999999E-4</v>
      </c>
      <c r="E28" s="90">
        <v>5.9999999999999995E-4</v>
      </c>
      <c r="F28" s="90">
        <v>6.9999999999999999E-4</v>
      </c>
      <c r="G28" s="90">
        <v>5.9999999999999995E-4</v>
      </c>
    </row>
    <row r="29" spans="2:7" x14ac:dyDescent="0.3">
      <c r="B29" s="91" t="s">
        <v>362</v>
      </c>
      <c r="C29" s="92" t="s">
        <v>363</v>
      </c>
      <c r="D29" s="93">
        <v>7.3000000000000001E-3</v>
      </c>
      <c r="E29" s="93">
        <v>5.5999999999999999E-3</v>
      </c>
      <c r="F29" s="93">
        <v>7.3000000000000001E-3</v>
      </c>
      <c r="G29" s="93">
        <v>5.5999999999999999E-3</v>
      </c>
    </row>
    <row r="30" spans="2:7" x14ac:dyDescent="0.3">
      <c r="B30" s="88" t="s">
        <v>364</v>
      </c>
      <c r="C30" s="89" t="s">
        <v>365</v>
      </c>
      <c r="D30" s="90">
        <v>2.6599999999999999E-2</v>
      </c>
      <c r="E30" s="88" t="s">
        <v>353</v>
      </c>
      <c r="F30" s="90">
        <v>2.6599999999999999E-2</v>
      </c>
      <c r="G30" s="88" t="s">
        <v>353</v>
      </c>
    </row>
    <row r="31" spans="2:7" x14ac:dyDescent="0.3">
      <c r="B31" s="91" t="s">
        <v>366</v>
      </c>
      <c r="C31" s="92" t="s">
        <v>367</v>
      </c>
      <c r="D31" s="93">
        <v>1.1000000000000001E-3</v>
      </c>
      <c r="E31" s="93">
        <v>8.9999999999999998E-4</v>
      </c>
      <c r="F31" s="93">
        <v>1.1000000000000001E-3</v>
      </c>
      <c r="G31" s="93">
        <v>8.9999999999999998E-4</v>
      </c>
    </row>
    <row r="32" spans="2:7" x14ac:dyDescent="0.3">
      <c r="B32" s="88" t="s">
        <v>368</v>
      </c>
      <c r="C32" s="89" t="s">
        <v>369</v>
      </c>
      <c r="D32" s="90">
        <v>8.5300000000000001E-2</v>
      </c>
      <c r="E32" s="90">
        <v>6.5000000000000002E-2</v>
      </c>
      <c r="F32" s="90">
        <v>8.5300000000000001E-2</v>
      </c>
      <c r="G32" s="90">
        <v>6.5000000000000002E-2</v>
      </c>
    </row>
    <row r="33" spans="2:10" x14ac:dyDescent="0.3">
      <c r="B33" s="91" t="s">
        <v>370</v>
      </c>
      <c r="C33" s="92" t="s">
        <v>371</v>
      </c>
      <c r="D33" s="93">
        <v>2.9999999999999997E-4</v>
      </c>
      <c r="E33" s="93">
        <v>2.9999999999999997E-4</v>
      </c>
      <c r="F33" s="93">
        <v>2.9999999999999997E-4</v>
      </c>
      <c r="G33" s="93">
        <v>2.9999999999999997E-4</v>
      </c>
    </row>
    <row r="34" spans="2:10" x14ac:dyDescent="0.3">
      <c r="B34" s="96" t="s">
        <v>372</v>
      </c>
      <c r="C34" s="96" t="s">
        <v>44</v>
      </c>
      <c r="D34" s="97">
        <v>0.46239999999999998</v>
      </c>
      <c r="E34" s="97">
        <v>0.16259999999999999</v>
      </c>
      <c r="F34" s="97">
        <v>0.46239999999999998</v>
      </c>
      <c r="G34" s="97">
        <v>0.16259999999999999</v>
      </c>
    </row>
    <row r="35" spans="2:10" x14ac:dyDescent="0.3">
      <c r="B35" s="489" t="s">
        <v>373</v>
      </c>
      <c r="C35" s="490"/>
      <c r="D35" s="490"/>
      <c r="E35" s="490"/>
      <c r="F35" s="490"/>
      <c r="G35" s="491"/>
    </row>
    <row r="36" spans="2:10" x14ac:dyDescent="0.3">
      <c r="B36" s="88" t="s">
        <v>374</v>
      </c>
      <c r="C36" s="89" t="s">
        <v>375</v>
      </c>
      <c r="D36" s="90">
        <v>5.2299999999999999E-2</v>
      </c>
      <c r="E36" s="90">
        <v>3.9800000000000002E-2</v>
      </c>
      <c r="F36" s="90">
        <v>5.2299999999999999E-2</v>
      </c>
      <c r="G36" s="90">
        <v>3.9800000000000002E-2</v>
      </c>
    </row>
    <row r="37" spans="2:10" x14ac:dyDescent="0.3">
      <c r="B37" s="91" t="s">
        <v>376</v>
      </c>
      <c r="C37" s="92" t="s">
        <v>377</v>
      </c>
      <c r="D37" s="93">
        <v>1.1999999999999999E-3</v>
      </c>
      <c r="E37" s="93">
        <v>8.9999999999999998E-4</v>
      </c>
      <c r="F37" s="93">
        <v>1.1999999999999999E-3</v>
      </c>
      <c r="G37" s="93">
        <v>8.9999999999999998E-4</v>
      </c>
    </row>
    <row r="38" spans="2:10" x14ac:dyDescent="0.3">
      <c r="B38" s="88" t="s">
        <v>378</v>
      </c>
      <c r="C38" s="89" t="s">
        <v>379</v>
      </c>
      <c r="D38" s="90">
        <v>5.28E-2</v>
      </c>
      <c r="E38" s="90">
        <v>4.02E-2</v>
      </c>
      <c r="F38" s="90">
        <v>5.28E-2</v>
      </c>
      <c r="G38" s="90">
        <v>4.02E-2</v>
      </c>
    </row>
    <row r="39" spans="2:10" x14ac:dyDescent="0.3">
      <c r="B39" s="91" t="s">
        <v>380</v>
      </c>
      <c r="C39" s="92" t="s">
        <v>381</v>
      </c>
      <c r="D39" s="93">
        <v>3.9E-2</v>
      </c>
      <c r="E39" s="93">
        <v>2.9700000000000001E-2</v>
      </c>
      <c r="F39" s="93">
        <v>3.9E-2</v>
      </c>
      <c r="G39" s="93">
        <v>2.9700000000000001E-2</v>
      </c>
      <c r="J39" s="98"/>
    </row>
    <row r="40" spans="2:10" x14ac:dyDescent="0.3">
      <c r="B40" s="88" t="s">
        <v>382</v>
      </c>
      <c r="C40" s="89" t="s">
        <v>383</v>
      </c>
      <c r="D40" s="90">
        <v>4.4000000000000003E-3</v>
      </c>
      <c r="E40" s="90">
        <v>3.3999999999999998E-3</v>
      </c>
      <c r="F40" s="90">
        <v>4.4000000000000003E-3</v>
      </c>
      <c r="G40" s="90">
        <v>3.3999999999999998E-3</v>
      </c>
    </row>
    <row r="41" spans="2:10" x14ac:dyDescent="0.3">
      <c r="B41" s="94" t="s">
        <v>384</v>
      </c>
      <c r="C41" s="94" t="s">
        <v>44</v>
      </c>
      <c r="D41" s="95">
        <v>0.1497</v>
      </c>
      <c r="E41" s="95">
        <v>0.114</v>
      </c>
      <c r="F41" s="95">
        <v>0.1497</v>
      </c>
      <c r="G41" s="95">
        <v>0.114</v>
      </c>
    </row>
    <row r="42" spans="2:10" x14ac:dyDescent="0.3">
      <c r="B42" s="489" t="s">
        <v>385</v>
      </c>
      <c r="C42" s="490"/>
      <c r="D42" s="490"/>
      <c r="E42" s="490"/>
      <c r="F42" s="490"/>
      <c r="G42" s="491"/>
    </row>
    <row r="43" spans="2:10" ht="27.6" x14ac:dyDescent="0.3">
      <c r="B43" s="88" t="s">
        <v>386</v>
      </c>
      <c r="C43" s="89" t="s">
        <v>387</v>
      </c>
      <c r="D43" s="90">
        <v>7.7700000000000005E-2</v>
      </c>
      <c r="E43" s="90">
        <v>2.7300000000000001E-2</v>
      </c>
      <c r="F43" s="90">
        <v>0.17019999999999999</v>
      </c>
      <c r="G43" s="90">
        <v>5.9799999999999999E-2</v>
      </c>
    </row>
    <row r="44" spans="2:10" ht="55.2" x14ac:dyDescent="0.3">
      <c r="B44" s="91" t="s">
        <v>388</v>
      </c>
      <c r="C44" s="99" t="s">
        <v>389</v>
      </c>
      <c r="D44" s="93">
        <v>4.4000000000000003E-3</v>
      </c>
      <c r="E44" s="93">
        <v>3.3E-3</v>
      </c>
      <c r="F44" s="93">
        <v>4.5999999999999999E-3</v>
      </c>
      <c r="G44" s="93">
        <v>3.5000000000000001E-3</v>
      </c>
    </row>
    <row r="45" spans="2:10" x14ac:dyDescent="0.3">
      <c r="B45" s="96" t="s">
        <v>390</v>
      </c>
      <c r="C45" s="96" t="s">
        <v>44</v>
      </c>
      <c r="D45" s="97">
        <v>8.2100000000000006E-2</v>
      </c>
      <c r="E45" s="97">
        <v>3.0599999999999999E-2</v>
      </c>
      <c r="F45" s="97">
        <v>0.17480000000000001</v>
      </c>
      <c r="G45" s="97">
        <v>6.3299999999999995E-2</v>
      </c>
    </row>
    <row r="46" spans="2:10" x14ac:dyDescent="0.3">
      <c r="B46" s="489" t="s">
        <v>391</v>
      </c>
      <c r="C46" s="491"/>
      <c r="D46" s="100">
        <v>0.86219999999999997</v>
      </c>
      <c r="E46" s="100">
        <v>0.47520000000000001</v>
      </c>
      <c r="F46" s="100">
        <v>1.1549</v>
      </c>
      <c r="G46" s="100">
        <v>0.70789999999999997</v>
      </c>
    </row>
    <row r="49" spans="2:7" x14ac:dyDescent="0.3">
      <c r="B49" s="487" t="s">
        <v>392</v>
      </c>
      <c r="C49" s="487"/>
      <c r="D49" s="487"/>
      <c r="E49" s="487"/>
      <c r="F49" s="487"/>
      <c r="G49" s="487"/>
    </row>
  </sheetData>
  <mergeCells count="13">
    <mergeCell ref="B49:G49"/>
    <mergeCell ref="B2:G2"/>
    <mergeCell ref="B6:G6"/>
    <mergeCell ref="B9:G9"/>
    <mergeCell ref="B10:B11"/>
    <mergeCell ref="C10:C11"/>
    <mergeCell ref="D10:E10"/>
    <mergeCell ref="F10:G10"/>
    <mergeCell ref="B12:G12"/>
    <mergeCell ref="B23:G23"/>
    <mergeCell ref="B35:G35"/>
    <mergeCell ref="B42:G42"/>
    <mergeCell ref="B46:C46"/>
  </mergeCells>
  <pageMargins left="0.78740157480314965" right="0.59055118110236227" top="0.78740157480314965" bottom="0.98425196850393704" header="0.31496062992125984" footer="0.25"/>
  <pageSetup paperSize="9" scale="90" fitToHeight="0" orientation="portrait" r:id="rId1"/>
  <headerFooter>
    <oddFooter>&amp;L&amp;"Arial Narrow,Normal"&amp;10Débora Quézia Escócio de Almeida
Engenheira Civil
CREA nº: 1518468780PA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DEBE-5B57-482E-A998-626F88585F38}">
  <dimension ref="A1:H20"/>
  <sheetViews>
    <sheetView topLeftCell="D1" workbookViewId="0">
      <selection activeCell="E29" sqref="E29"/>
    </sheetView>
  </sheetViews>
  <sheetFormatPr defaultRowHeight="14.4" x14ac:dyDescent="0.3"/>
  <cols>
    <col min="5" max="5" width="145.33203125" bestFit="1" customWidth="1"/>
    <col min="7" max="7" width="12.88671875" bestFit="1" customWidth="1"/>
    <col min="8" max="8" width="13.21875" bestFit="1" customWidth="1"/>
  </cols>
  <sheetData>
    <row r="1" spans="1:8" x14ac:dyDescent="0.3">
      <c r="A1" s="496" t="s">
        <v>600</v>
      </c>
      <c r="B1" s="497"/>
      <c r="C1" s="497"/>
      <c r="D1" s="497"/>
      <c r="E1" s="497"/>
      <c r="F1" s="497"/>
      <c r="G1" s="497"/>
      <c r="H1" s="497"/>
    </row>
    <row r="2" spans="1:8" x14ac:dyDescent="0.3">
      <c r="A2" s="204" t="s">
        <v>601</v>
      </c>
      <c r="B2" s="204" t="s">
        <v>22</v>
      </c>
      <c r="C2" s="204" t="s">
        <v>47</v>
      </c>
      <c r="D2" s="204" t="s">
        <v>48</v>
      </c>
      <c r="E2" s="204" t="s">
        <v>49</v>
      </c>
      <c r="F2" s="204" t="s">
        <v>42</v>
      </c>
      <c r="G2" s="204" t="s">
        <v>602</v>
      </c>
      <c r="H2" s="204" t="s">
        <v>603</v>
      </c>
    </row>
    <row r="3" spans="1:8" x14ac:dyDescent="0.3">
      <c r="A3" s="205">
        <v>10</v>
      </c>
      <c r="B3" s="206">
        <v>1.1000000000000001</v>
      </c>
      <c r="C3" s="206" t="s">
        <v>122</v>
      </c>
      <c r="D3" t="s">
        <v>51</v>
      </c>
      <c r="E3" t="s">
        <v>52</v>
      </c>
      <c r="F3">
        <v>1</v>
      </c>
      <c r="G3" s="208">
        <f>CPU!H9</f>
        <v>13805</v>
      </c>
    </row>
    <row r="4" spans="1:8" s="212" customFormat="1" x14ac:dyDescent="0.3">
      <c r="A4" s="209">
        <v>15</v>
      </c>
      <c r="B4" s="210">
        <v>2.4</v>
      </c>
      <c r="C4" s="211">
        <v>10767</v>
      </c>
      <c r="D4" s="212" t="s">
        <v>55</v>
      </c>
      <c r="E4" s="212" t="s">
        <v>604</v>
      </c>
      <c r="F4" s="212">
        <v>4</v>
      </c>
      <c r="G4" s="213">
        <v>769.09</v>
      </c>
    </row>
    <row r="5" spans="1:8" x14ac:dyDescent="0.3">
      <c r="A5" s="205">
        <v>19</v>
      </c>
      <c r="B5" s="206">
        <v>3.1</v>
      </c>
      <c r="C5" s="206" t="s">
        <v>481</v>
      </c>
      <c r="D5" t="s">
        <v>51</v>
      </c>
      <c r="E5" t="s">
        <v>586</v>
      </c>
      <c r="F5" s="207">
        <v>303.32</v>
      </c>
      <c r="G5" s="208">
        <f>CPU!H20</f>
        <v>112.64</v>
      </c>
    </row>
    <row r="6" spans="1:8" x14ac:dyDescent="0.3">
      <c r="A6" s="205">
        <v>20</v>
      </c>
      <c r="B6" s="206">
        <v>3.2</v>
      </c>
      <c r="C6" s="206" t="s">
        <v>484</v>
      </c>
      <c r="D6" t="s">
        <v>51</v>
      </c>
      <c r="E6" t="s">
        <v>483</v>
      </c>
      <c r="F6" s="207">
        <v>103.75</v>
      </c>
      <c r="G6" s="208">
        <f>CPU!H27</f>
        <v>161.44</v>
      </c>
    </row>
    <row r="7" spans="1:8" x14ac:dyDescent="0.3">
      <c r="A7" s="205">
        <v>21</v>
      </c>
      <c r="B7" s="206">
        <v>3.3</v>
      </c>
      <c r="C7" s="206" t="s">
        <v>493</v>
      </c>
      <c r="D7" t="s">
        <v>51</v>
      </c>
      <c r="E7" t="s">
        <v>491</v>
      </c>
      <c r="F7">
        <v>3</v>
      </c>
      <c r="G7" s="208">
        <f>CPU!H34</f>
        <v>214.63</v>
      </c>
    </row>
    <row r="8" spans="1:8" x14ac:dyDescent="0.3">
      <c r="A8" s="205">
        <v>45</v>
      </c>
      <c r="B8" s="206" t="s">
        <v>231</v>
      </c>
      <c r="C8" s="206" t="s">
        <v>136</v>
      </c>
      <c r="D8" t="s">
        <v>51</v>
      </c>
      <c r="E8" t="s">
        <v>69</v>
      </c>
      <c r="F8">
        <v>2</v>
      </c>
      <c r="G8" s="208">
        <f>CPU!H43</f>
        <v>428.46</v>
      </c>
    </row>
    <row r="9" spans="1:8" s="218" customFormat="1" x14ac:dyDescent="0.3">
      <c r="A9" s="216">
        <v>49</v>
      </c>
      <c r="B9" s="217" t="s">
        <v>235</v>
      </c>
      <c r="C9" s="217" t="s">
        <v>138</v>
      </c>
      <c r="D9" s="218" t="s">
        <v>51</v>
      </c>
      <c r="E9" s="218" t="s">
        <v>70</v>
      </c>
      <c r="F9" s="218">
        <v>1</v>
      </c>
      <c r="G9" s="219">
        <f>CPU!H54</f>
        <v>1809.67</v>
      </c>
    </row>
    <row r="10" spans="1:8" x14ac:dyDescent="0.3">
      <c r="A10" s="205">
        <v>51</v>
      </c>
      <c r="B10" s="206" t="s">
        <v>140</v>
      </c>
      <c r="C10" s="206" t="s">
        <v>141</v>
      </c>
      <c r="D10" t="s">
        <v>51</v>
      </c>
      <c r="E10" t="s">
        <v>72</v>
      </c>
      <c r="F10">
        <v>10</v>
      </c>
      <c r="G10" s="208">
        <f>CPU!H72</f>
        <v>7.42</v>
      </c>
    </row>
    <row r="11" spans="1:8" x14ac:dyDescent="0.3">
      <c r="A11" s="205">
        <v>52</v>
      </c>
      <c r="B11" s="206" t="s">
        <v>142</v>
      </c>
      <c r="C11" s="206" t="s">
        <v>143</v>
      </c>
      <c r="D11" t="s">
        <v>51</v>
      </c>
      <c r="E11" t="s">
        <v>73</v>
      </c>
      <c r="F11">
        <v>10</v>
      </c>
      <c r="G11" s="208">
        <f>CPU!H82</f>
        <v>7.76</v>
      </c>
    </row>
    <row r="12" spans="1:8" s="212" customFormat="1" x14ac:dyDescent="0.3">
      <c r="A12" s="209">
        <v>53</v>
      </c>
      <c r="B12" s="210" t="s">
        <v>144</v>
      </c>
      <c r="C12" s="211">
        <v>103993</v>
      </c>
      <c r="D12" s="212" t="s">
        <v>54</v>
      </c>
      <c r="E12" s="212" t="s">
        <v>605</v>
      </c>
      <c r="F12" s="212">
        <v>5</v>
      </c>
      <c r="G12" s="212">
        <v>9.06</v>
      </c>
    </row>
    <row r="13" spans="1:8" x14ac:dyDescent="0.3">
      <c r="A13" s="205">
        <v>62</v>
      </c>
      <c r="B13" s="206" t="s">
        <v>153</v>
      </c>
      <c r="C13" s="206" t="s">
        <v>154</v>
      </c>
      <c r="D13" t="s">
        <v>51</v>
      </c>
      <c r="E13" t="s">
        <v>82</v>
      </c>
      <c r="F13">
        <v>12</v>
      </c>
      <c r="G13" s="208">
        <f>CPU!H92</f>
        <v>14.5</v>
      </c>
    </row>
    <row r="14" spans="1:8" x14ac:dyDescent="0.3">
      <c r="A14" s="205">
        <v>70</v>
      </c>
      <c r="B14" s="206" t="s">
        <v>162</v>
      </c>
      <c r="C14" s="206" t="s">
        <v>163</v>
      </c>
      <c r="D14" t="s">
        <v>51</v>
      </c>
      <c r="E14" t="s">
        <v>90</v>
      </c>
      <c r="F14">
        <v>3</v>
      </c>
      <c r="G14" s="208">
        <f>CPU!H102</f>
        <v>26.9</v>
      </c>
    </row>
    <row r="15" spans="1:8" s="212" customFormat="1" x14ac:dyDescent="0.3">
      <c r="A15" s="209">
        <v>89</v>
      </c>
      <c r="B15" s="210" t="s">
        <v>198</v>
      </c>
      <c r="C15" s="211">
        <v>170887</v>
      </c>
      <c r="D15" s="212" t="s">
        <v>55</v>
      </c>
      <c r="E15" s="215" t="s">
        <v>606</v>
      </c>
      <c r="F15" s="212">
        <v>1</v>
      </c>
      <c r="G15" s="212">
        <v>751.3</v>
      </c>
    </row>
    <row r="16" spans="1:8" x14ac:dyDescent="0.3">
      <c r="A16" s="205">
        <v>92</v>
      </c>
      <c r="B16" s="206" t="s">
        <v>201</v>
      </c>
      <c r="C16" s="206" t="s">
        <v>463</v>
      </c>
      <c r="D16" t="s">
        <v>51</v>
      </c>
      <c r="E16" t="s">
        <v>256</v>
      </c>
      <c r="F16">
        <v>6</v>
      </c>
      <c r="G16" s="208">
        <f>CPU!H112</f>
        <v>177.25</v>
      </c>
    </row>
    <row r="17" spans="1:7" x14ac:dyDescent="0.3">
      <c r="A17" s="205">
        <v>93</v>
      </c>
      <c r="B17" s="206" t="s">
        <v>253</v>
      </c>
      <c r="C17" s="206" t="s">
        <v>494</v>
      </c>
      <c r="D17" t="s">
        <v>51</v>
      </c>
      <c r="E17" t="s">
        <v>257</v>
      </c>
      <c r="F17">
        <v>1</v>
      </c>
      <c r="G17" s="208">
        <f>CPU!H120</f>
        <v>214.18</v>
      </c>
    </row>
    <row r="18" spans="1:7" x14ac:dyDescent="0.3">
      <c r="A18" s="205">
        <v>99</v>
      </c>
      <c r="B18" s="206" t="s">
        <v>205</v>
      </c>
      <c r="C18" s="206" t="s">
        <v>258</v>
      </c>
      <c r="D18" t="s">
        <v>51</v>
      </c>
      <c r="E18" t="s">
        <v>260</v>
      </c>
      <c r="F18">
        <v>4</v>
      </c>
      <c r="G18" s="208">
        <f>CPU!H128</f>
        <v>136.57</v>
      </c>
    </row>
    <row r="19" spans="1:7" x14ac:dyDescent="0.3">
      <c r="A19" s="205">
        <v>100</v>
      </c>
      <c r="B19" s="206" t="s">
        <v>206</v>
      </c>
      <c r="C19" s="206" t="s">
        <v>259</v>
      </c>
      <c r="D19" t="s">
        <v>51</v>
      </c>
      <c r="E19" t="s">
        <v>261</v>
      </c>
      <c r="F19">
        <v>22</v>
      </c>
      <c r="G19" s="208">
        <f>CPU!H136</f>
        <v>140.58000000000001</v>
      </c>
    </row>
    <row r="20" spans="1:7" x14ac:dyDescent="0.3">
      <c r="A20" s="205">
        <v>109</v>
      </c>
      <c r="B20" s="206" t="s">
        <v>270</v>
      </c>
      <c r="C20" s="206" t="s">
        <v>271</v>
      </c>
      <c r="D20" t="s">
        <v>51</v>
      </c>
      <c r="E20" t="s">
        <v>272</v>
      </c>
      <c r="F20">
        <v>7.4</v>
      </c>
      <c r="G20" s="208">
        <f>CPU!H144</f>
        <v>30.76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8212-525F-43D9-B7CF-E2EC40A70902}">
  <sheetPr>
    <pageSetUpPr fitToPage="1"/>
  </sheetPr>
  <dimension ref="A1:J60"/>
  <sheetViews>
    <sheetView view="pageBreakPreview" topLeftCell="A40" zoomScaleNormal="100" zoomScaleSheetLayoutView="100" workbookViewId="0">
      <selection activeCell="B54" sqref="B54:I54"/>
    </sheetView>
  </sheetViews>
  <sheetFormatPr defaultColWidth="9.109375" defaultRowHeight="13.8" x14ac:dyDescent="0.3"/>
  <cols>
    <col min="1" max="16384" width="9.109375" style="77"/>
  </cols>
  <sheetData>
    <row r="1" spans="1:10" x14ac:dyDescent="0.3">
      <c r="A1" s="101"/>
      <c r="B1" s="228"/>
      <c r="C1" s="228"/>
      <c r="D1" s="228"/>
      <c r="E1" s="228"/>
      <c r="F1" s="228"/>
      <c r="G1" s="228"/>
      <c r="H1" s="228"/>
      <c r="I1" s="102"/>
      <c r="J1" s="103"/>
    </row>
    <row r="2" spans="1:10" x14ac:dyDescent="0.3">
      <c r="A2" s="85"/>
      <c r="B2" s="227"/>
      <c r="C2" s="227"/>
      <c r="D2" s="227"/>
      <c r="E2" s="227"/>
      <c r="F2" s="227"/>
      <c r="G2" s="227"/>
      <c r="H2" s="227"/>
      <c r="I2" s="104"/>
      <c r="J2" s="86"/>
    </row>
    <row r="3" spans="1:10" x14ac:dyDescent="0.3">
      <c r="A3" s="85"/>
      <c r="B3" s="227"/>
      <c r="C3" s="227"/>
      <c r="D3" s="227"/>
      <c r="E3" s="227"/>
      <c r="F3" s="227"/>
      <c r="G3" s="227"/>
      <c r="H3" s="227"/>
      <c r="I3" s="104"/>
      <c r="J3" s="86"/>
    </row>
    <row r="4" spans="1:10" x14ac:dyDescent="0.3">
      <c r="A4" s="85"/>
      <c r="B4" s="227"/>
      <c r="C4" s="227"/>
      <c r="D4" s="227"/>
      <c r="E4" s="227"/>
      <c r="F4" s="227"/>
      <c r="G4" s="227"/>
      <c r="H4" s="227"/>
      <c r="I4" s="104"/>
      <c r="J4" s="86"/>
    </row>
    <row r="5" spans="1:10" x14ac:dyDescent="0.3">
      <c r="A5" s="85"/>
      <c r="B5" s="227"/>
      <c r="C5" s="227"/>
      <c r="D5" s="227"/>
      <c r="E5" s="227"/>
      <c r="F5" s="227"/>
      <c r="G5" s="227"/>
      <c r="H5" s="227"/>
      <c r="I5" s="104"/>
      <c r="J5" s="86"/>
    </row>
    <row r="6" spans="1:10" x14ac:dyDescent="0.3">
      <c r="A6" s="85"/>
      <c r="B6" s="227"/>
      <c r="C6" s="227"/>
      <c r="D6" s="227"/>
      <c r="E6" s="227"/>
      <c r="F6" s="227"/>
      <c r="G6" s="227"/>
      <c r="H6" s="227"/>
      <c r="I6" s="104"/>
      <c r="J6" s="86"/>
    </row>
    <row r="7" spans="1:10" x14ac:dyDescent="0.3">
      <c r="A7" s="85"/>
      <c r="B7" s="227"/>
      <c r="C7" s="227"/>
      <c r="D7" s="227"/>
      <c r="E7" s="227"/>
      <c r="F7" s="227"/>
      <c r="G7" s="227"/>
      <c r="H7" s="227"/>
      <c r="I7" s="104"/>
      <c r="J7" s="86"/>
    </row>
    <row r="8" spans="1:10" x14ac:dyDescent="0.3">
      <c r="A8" s="85"/>
      <c r="B8" s="227"/>
      <c r="C8" s="227"/>
      <c r="D8" s="227"/>
      <c r="E8" s="227"/>
      <c r="F8" s="227"/>
      <c r="G8" s="227"/>
      <c r="H8" s="227"/>
      <c r="I8" s="104"/>
      <c r="J8" s="86"/>
    </row>
    <row r="9" spans="1:10" x14ac:dyDescent="0.3">
      <c r="A9" s="85"/>
      <c r="B9" s="227"/>
      <c r="C9" s="227"/>
      <c r="D9" s="227"/>
      <c r="E9" s="227"/>
      <c r="F9" s="227"/>
      <c r="G9" s="227"/>
      <c r="H9" s="227"/>
      <c r="I9" s="227"/>
      <c r="J9" s="86"/>
    </row>
    <row r="10" spans="1:10" x14ac:dyDescent="0.3">
      <c r="A10" s="85"/>
      <c r="B10" s="227"/>
      <c r="C10" s="227"/>
      <c r="D10" s="227"/>
      <c r="E10" s="227"/>
      <c r="F10" s="227"/>
      <c r="G10" s="227"/>
      <c r="H10" s="227"/>
      <c r="I10" s="227"/>
      <c r="J10" s="86"/>
    </row>
    <row r="11" spans="1:10" ht="15.6" x14ac:dyDescent="0.3">
      <c r="A11" s="85"/>
      <c r="B11" s="229" t="s">
        <v>12</v>
      </c>
      <c r="C11" s="229"/>
      <c r="D11" s="229"/>
      <c r="E11" s="229"/>
      <c r="F11" s="229"/>
      <c r="G11" s="229"/>
      <c r="H11" s="229"/>
      <c r="I11" s="229"/>
      <c r="J11" s="86"/>
    </row>
    <row r="12" spans="1:10" ht="15.6" x14ac:dyDescent="0.3">
      <c r="A12" s="85"/>
      <c r="B12" s="229" t="s">
        <v>15</v>
      </c>
      <c r="C12" s="229"/>
      <c r="D12" s="229"/>
      <c r="E12" s="229"/>
      <c r="F12" s="229"/>
      <c r="G12" s="229"/>
      <c r="H12" s="229"/>
      <c r="I12" s="229"/>
      <c r="J12" s="86"/>
    </row>
    <row r="13" spans="1:10" x14ac:dyDescent="0.3">
      <c r="A13" s="85"/>
      <c r="B13" s="227"/>
      <c r="C13" s="227"/>
      <c r="D13" s="227"/>
      <c r="E13" s="227"/>
      <c r="F13" s="227"/>
      <c r="G13" s="227"/>
      <c r="H13" s="227"/>
      <c r="I13" s="227"/>
      <c r="J13" s="86"/>
    </row>
    <row r="14" spans="1:10" x14ac:dyDescent="0.3">
      <c r="A14" s="85"/>
      <c r="B14" s="227"/>
      <c r="C14" s="227"/>
      <c r="D14" s="227"/>
      <c r="E14" s="227"/>
      <c r="F14" s="227"/>
      <c r="G14" s="227"/>
      <c r="H14" s="227"/>
      <c r="I14" s="227"/>
      <c r="J14" s="86"/>
    </row>
    <row r="15" spans="1:10" x14ac:dyDescent="0.3">
      <c r="A15" s="85"/>
      <c r="B15" s="227"/>
      <c r="C15" s="227"/>
      <c r="D15" s="227"/>
      <c r="E15" s="227"/>
      <c r="F15" s="227"/>
      <c r="G15" s="227"/>
      <c r="H15" s="227"/>
      <c r="I15" s="227"/>
      <c r="J15" s="86"/>
    </row>
    <row r="16" spans="1:10" x14ac:dyDescent="0.3">
      <c r="A16" s="85"/>
      <c r="B16" s="227"/>
      <c r="C16" s="227"/>
      <c r="D16" s="227"/>
      <c r="E16" s="227"/>
      <c r="F16" s="227"/>
      <c r="G16" s="227"/>
      <c r="H16" s="227"/>
      <c r="I16" s="227"/>
      <c r="J16" s="86"/>
    </row>
    <row r="17" spans="1:10" x14ac:dyDescent="0.3">
      <c r="A17" s="85"/>
      <c r="B17" s="227"/>
      <c r="C17" s="227"/>
      <c r="D17" s="227"/>
      <c r="E17" s="227"/>
      <c r="F17" s="227"/>
      <c r="G17" s="227"/>
      <c r="H17" s="227"/>
      <c r="I17" s="227"/>
      <c r="J17" s="86"/>
    </row>
    <row r="18" spans="1:10" x14ac:dyDescent="0.3">
      <c r="A18" s="85"/>
      <c r="B18" s="230" t="str">
        <f>CAPA!B26</f>
        <v>OBJETO: CONSTRUÇÃO DE CENTRO DE SAÚDE NA COMUNIDADE SÃO CIRÍACO NA REGIÃO DE VÁRZEA DO MUNICÍPIO DE SANTARÉM</v>
      </c>
      <c r="C18" s="230"/>
      <c r="D18" s="230"/>
      <c r="E18" s="230"/>
      <c r="F18" s="230"/>
      <c r="G18" s="230"/>
      <c r="H18" s="230"/>
      <c r="I18" s="230"/>
      <c r="J18" s="86"/>
    </row>
    <row r="19" spans="1:10" x14ac:dyDescent="0.3">
      <c r="A19" s="85"/>
      <c r="B19" s="230"/>
      <c r="C19" s="230"/>
      <c r="D19" s="230"/>
      <c r="E19" s="230"/>
      <c r="F19" s="230"/>
      <c r="G19" s="230"/>
      <c r="H19" s="230"/>
      <c r="I19" s="230"/>
      <c r="J19" s="86"/>
    </row>
    <row r="20" spans="1:10" x14ac:dyDescent="0.3">
      <c r="A20" s="85"/>
      <c r="B20" s="230"/>
      <c r="C20" s="230"/>
      <c r="D20" s="230"/>
      <c r="E20" s="230"/>
      <c r="F20" s="230"/>
      <c r="G20" s="230"/>
      <c r="H20" s="230"/>
      <c r="I20" s="230"/>
      <c r="J20" s="86"/>
    </row>
    <row r="21" spans="1:10" x14ac:dyDescent="0.3">
      <c r="A21" s="85"/>
      <c r="B21" s="230"/>
      <c r="C21" s="230"/>
      <c r="D21" s="230"/>
      <c r="E21" s="230"/>
      <c r="F21" s="230"/>
      <c r="G21" s="230"/>
      <c r="H21" s="230"/>
      <c r="I21" s="230"/>
      <c r="J21" s="86"/>
    </row>
    <row r="22" spans="1:10" x14ac:dyDescent="0.3">
      <c r="A22" s="85"/>
      <c r="B22" s="230"/>
      <c r="C22" s="230"/>
      <c r="D22" s="230"/>
      <c r="E22" s="230"/>
      <c r="F22" s="230"/>
      <c r="G22" s="230"/>
      <c r="H22" s="230"/>
      <c r="I22" s="230"/>
      <c r="J22" s="86"/>
    </row>
    <row r="23" spans="1:10" x14ac:dyDescent="0.3">
      <c r="A23" s="85"/>
      <c r="B23" s="230"/>
      <c r="C23" s="230"/>
      <c r="D23" s="230"/>
      <c r="E23" s="230"/>
      <c r="F23" s="230"/>
      <c r="G23" s="230"/>
      <c r="H23" s="230"/>
      <c r="I23" s="230"/>
      <c r="J23" s="86"/>
    </row>
    <row r="24" spans="1:10" x14ac:dyDescent="0.3">
      <c r="A24" s="85"/>
      <c r="B24" s="230"/>
      <c r="C24" s="230"/>
      <c r="D24" s="230"/>
      <c r="E24" s="230"/>
      <c r="F24" s="230"/>
      <c r="G24" s="230"/>
      <c r="H24" s="230"/>
      <c r="I24" s="230"/>
      <c r="J24" s="86"/>
    </row>
    <row r="25" spans="1:10" x14ac:dyDescent="0.3">
      <c r="A25" s="85"/>
      <c r="B25" s="230"/>
      <c r="C25" s="230"/>
      <c r="D25" s="230"/>
      <c r="E25" s="230"/>
      <c r="F25" s="230"/>
      <c r="G25" s="230"/>
      <c r="H25" s="230"/>
      <c r="I25" s="230"/>
      <c r="J25" s="86"/>
    </row>
    <row r="26" spans="1:10" ht="12.75" customHeight="1" x14ac:dyDescent="0.3">
      <c r="A26" s="85"/>
      <c r="B26" s="230"/>
      <c r="C26" s="230"/>
      <c r="D26" s="230"/>
      <c r="E26" s="230"/>
      <c r="F26" s="230"/>
      <c r="G26" s="230"/>
      <c r="H26" s="230"/>
      <c r="I26" s="230"/>
      <c r="J26" s="86"/>
    </row>
    <row r="27" spans="1:10" ht="12.75" customHeight="1" x14ac:dyDescent="0.3">
      <c r="A27" s="85"/>
      <c r="B27" s="227"/>
      <c r="C27" s="227"/>
      <c r="D27" s="227"/>
      <c r="E27" s="227"/>
      <c r="F27" s="227"/>
      <c r="G27" s="227"/>
      <c r="H27" s="227"/>
      <c r="I27" s="227"/>
      <c r="J27" s="86"/>
    </row>
    <row r="28" spans="1:10" ht="12.75" customHeight="1" x14ac:dyDescent="0.3">
      <c r="A28" s="85"/>
      <c r="B28" s="72"/>
      <c r="C28" s="72"/>
      <c r="D28" s="72"/>
      <c r="E28" s="72"/>
      <c r="F28" s="72"/>
      <c r="G28" s="72"/>
      <c r="H28" s="72"/>
      <c r="I28" s="72"/>
      <c r="J28" s="86"/>
    </row>
    <row r="29" spans="1:10" ht="12.75" customHeight="1" x14ac:dyDescent="0.3">
      <c r="A29" s="85"/>
      <c r="B29" s="227"/>
      <c r="C29" s="227"/>
      <c r="D29" s="227"/>
      <c r="E29" s="227"/>
      <c r="F29" s="227"/>
      <c r="G29" s="227"/>
      <c r="H29" s="227"/>
      <c r="I29" s="227"/>
      <c r="J29" s="86"/>
    </row>
    <row r="30" spans="1:10" ht="12.75" customHeight="1" x14ac:dyDescent="0.3">
      <c r="A30" s="85"/>
      <c r="B30" s="237" t="s">
        <v>393</v>
      </c>
      <c r="C30" s="237"/>
      <c r="D30" s="237"/>
      <c r="E30" s="237"/>
      <c r="F30" s="237"/>
      <c r="G30" s="237"/>
      <c r="H30" s="237"/>
      <c r="I30" s="237"/>
      <c r="J30" s="86"/>
    </row>
    <row r="31" spans="1:10" ht="12.75" customHeight="1" x14ac:dyDescent="0.3">
      <c r="A31" s="85"/>
      <c r="B31" s="237"/>
      <c r="C31" s="237"/>
      <c r="D31" s="237"/>
      <c r="E31" s="237"/>
      <c r="F31" s="237"/>
      <c r="G31" s="237"/>
      <c r="H31" s="237"/>
      <c r="I31" s="237"/>
      <c r="J31" s="86"/>
    </row>
    <row r="32" spans="1:10" ht="12.75" customHeight="1" x14ac:dyDescent="0.3">
      <c r="A32" s="85"/>
      <c r="B32" s="227"/>
      <c r="C32" s="227"/>
      <c r="D32" s="227"/>
      <c r="E32" s="227"/>
      <c r="F32" s="227"/>
      <c r="G32" s="227"/>
      <c r="H32" s="227"/>
      <c r="I32" s="227"/>
      <c r="J32" s="86"/>
    </row>
    <row r="33" spans="1:10" ht="12.75" customHeight="1" x14ac:dyDescent="0.3">
      <c r="A33" s="85"/>
      <c r="B33" s="227"/>
      <c r="C33" s="227"/>
      <c r="D33" s="227"/>
      <c r="E33" s="227"/>
      <c r="F33" s="227"/>
      <c r="G33" s="227"/>
      <c r="H33" s="227"/>
      <c r="I33" s="227"/>
      <c r="J33" s="86"/>
    </row>
    <row r="34" spans="1:10" ht="12.75" customHeight="1" x14ac:dyDescent="0.3">
      <c r="A34" s="85"/>
      <c r="B34" s="233" t="s">
        <v>119</v>
      </c>
      <c r="C34" s="233"/>
      <c r="D34" s="233"/>
      <c r="E34" s="233"/>
      <c r="F34" s="233"/>
      <c r="G34" s="233"/>
      <c r="H34" s="233"/>
      <c r="I34" s="235">
        <v>3</v>
      </c>
      <c r="J34" s="86"/>
    </row>
    <row r="35" spans="1:10" x14ac:dyDescent="0.3">
      <c r="A35" s="85"/>
      <c r="B35" s="234"/>
      <c r="C35" s="234"/>
      <c r="D35" s="234"/>
      <c r="E35" s="234"/>
      <c r="F35" s="234"/>
      <c r="G35" s="234"/>
      <c r="H35" s="234"/>
      <c r="I35" s="236"/>
      <c r="J35" s="86"/>
    </row>
    <row r="36" spans="1:10" x14ac:dyDescent="0.3">
      <c r="A36" s="85"/>
      <c r="B36" s="238" t="s">
        <v>394</v>
      </c>
      <c r="C36" s="238"/>
      <c r="D36" s="238"/>
      <c r="E36" s="238"/>
      <c r="F36" s="238"/>
      <c r="G36" s="238"/>
      <c r="H36" s="238"/>
      <c r="I36" s="239">
        <v>10</v>
      </c>
      <c r="J36" s="86"/>
    </row>
    <row r="37" spans="1:10" x14ac:dyDescent="0.3">
      <c r="A37" s="85"/>
      <c r="B37" s="234"/>
      <c r="C37" s="234"/>
      <c r="D37" s="234"/>
      <c r="E37" s="234"/>
      <c r="F37" s="234"/>
      <c r="G37" s="234"/>
      <c r="H37" s="234"/>
      <c r="I37" s="236"/>
      <c r="J37" s="86"/>
    </row>
    <row r="38" spans="1:10" x14ac:dyDescent="0.3">
      <c r="A38" s="85"/>
      <c r="B38" s="238" t="s">
        <v>20</v>
      </c>
      <c r="C38" s="238"/>
      <c r="D38" s="238"/>
      <c r="E38" s="238"/>
      <c r="F38" s="238"/>
      <c r="G38" s="238"/>
      <c r="H38" s="238"/>
      <c r="I38" s="239">
        <v>13</v>
      </c>
      <c r="J38" s="86"/>
    </row>
    <row r="39" spans="1:10" x14ac:dyDescent="0.3">
      <c r="A39" s="85"/>
      <c r="B39" s="234"/>
      <c r="C39" s="234"/>
      <c r="D39" s="234"/>
      <c r="E39" s="234"/>
      <c r="F39" s="234"/>
      <c r="G39" s="234"/>
      <c r="H39" s="234"/>
      <c r="I39" s="236"/>
      <c r="J39" s="86"/>
    </row>
    <row r="40" spans="1:10" x14ac:dyDescent="0.3">
      <c r="A40" s="85"/>
      <c r="B40" s="238" t="s">
        <v>395</v>
      </c>
      <c r="C40" s="238"/>
      <c r="D40" s="238"/>
      <c r="E40" s="238"/>
      <c r="F40" s="238"/>
      <c r="G40" s="238"/>
      <c r="H40" s="238"/>
      <c r="I40" s="239">
        <v>20</v>
      </c>
      <c r="J40" s="86"/>
    </row>
    <row r="41" spans="1:10" x14ac:dyDescent="0.3">
      <c r="A41" s="85"/>
      <c r="B41" s="234"/>
      <c r="C41" s="234"/>
      <c r="D41" s="234"/>
      <c r="E41" s="234"/>
      <c r="F41" s="234"/>
      <c r="G41" s="234"/>
      <c r="H41" s="234"/>
      <c r="I41" s="236"/>
      <c r="J41" s="86"/>
    </row>
    <row r="42" spans="1:10" x14ac:dyDescent="0.3">
      <c r="A42" s="85"/>
      <c r="B42" s="238" t="s">
        <v>396</v>
      </c>
      <c r="C42" s="238"/>
      <c r="D42" s="238"/>
      <c r="E42" s="238"/>
      <c r="F42" s="238"/>
      <c r="G42" s="238"/>
      <c r="H42" s="238"/>
      <c r="I42" s="239">
        <v>22</v>
      </c>
      <c r="J42" s="86"/>
    </row>
    <row r="43" spans="1:10" x14ac:dyDescent="0.3">
      <c r="A43" s="85"/>
      <c r="B43" s="234"/>
      <c r="C43" s="234"/>
      <c r="D43" s="234"/>
      <c r="E43" s="234"/>
      <c r="F43" s="234"/>
      <c r="G43" s="234"/>
      <c r="H43" s="234"/>
      <c r="I43" s="236"/>
      <c r="J43" s="86"/>
    </row>
    <row r="44" spans="1:10" x14ac:dyDescent="0.3">
      <c r="A44" s="85"/>
      <c r="B44" s="238" t="s">
        <v>397</v>
      </c>
      <c r="C44" s="238"/>
      <c r="D44" s="238"/>
      <c r="E44" s="238"/>
      <c r="F44" s="238"/>
      <c r="G44" s="238"/>
      <c r="H44" s="238"/>
      <c r="I44" s="239">
        <v>24</v>
      </c>
      <c r="J44" s="86"/>
    </row>
    <row r="45" spans="1:10" x14ac:dyDescent="0.3">
      <c r="A45" s="85"/>
      <c r="B45" s="234"/>
      <c r="C45" s="234"/>
      <c r="D45" s="234"/>
      <c r="E45" s="234"/>
      <c r="F45" s="234"/>
      <c r="G45" s="234"/>
      <c r="H45" s="234"/>
      <c r="I45" s="236"/>
      <c r="J45" s="86"/>
    </row>
    <row r="46" spans="1:10" x14ac:dyDescent="0.3">
      <c r="A46" s="85"/>
      <c r="B46" s="238" t="s">
        <v>319</v>
      </c>
      <c r="C46" s="238"/>
      <c r="D46" s="238"/>
      <c r="E46" s="238"/>
      <c r="F46" s="238"/>
      <c r="G46" s="238"/>
      <c r="H46" s="238"/>
      <c r="I46" s="239">
        <v>26</v>
      </c>
      <c r="J46" s="86"/>
    </row>
    <row r="47" spans="1:10" x14ac:dyDescent="0.3">
      <c r="A47" s="85"/>
      <c r="B47" s="234"/>
      <c r="C47" s="234"/>
      <c r="D47" s="234"/>
      <c r="E47" s="234"/>
      <c r="F47" s="234"/>
      <c r="G47" s="234"/>
      <c r="H47" s="234"/>
      <c r="I47" s="236"/>
      <c r="J47" s="86"/>
    </row>
    <row r="48" spans="1:10" x14ac:dyDescent="0.3">
      <c r="A48" s="85"/>
      <c r="B48" s="238" t="s">
        <v>495</v>
      </c>
      <c r="C48" s="238"/>
      <c r="D48" s="238"/>
      <c r="E48" s="238"/>
      <c r="F48" s="238"/>
      <c r="G48" s="238"/>
      <c r="H48" s="238"/>
      <c r="I48" s="239">
        <v>30</v>
      </c>
      <c r="J48" s="86"/>
    </row>
    <row r="49" spans="1:10" x14ac:dyDescent="0.3">
      <c r="A49" s="85"/>
      <c r="B49" s="234"/>
      <c r="C49" s="234"/>
      <c r="D49" s="234"/>
      <c r="E49" s="234"/>
      <c r="F49" s="234"/>
      <c r="G49" s="234"/>
      <c r="H49" s="234"/>
      <c r="I49" s="236"/>
      <c r="J49" s="86"/>
    </row>
    <row r="50" spans="1:10" ht="12.75" customHeight="1" x14ac:dyDescent="0.3">
      <c r="A50" s="85"/>
      <c r="B50" s="238" t="s">
        <v>398</v>
      </c>
      <c r="C50" s="238"/>
      <c r="D50" s="238"/>
      <c r="E50" s="238"/>
      <c r="F50" s="238"/>
      <c r="G50" s="238"/>
      <c r="H50" s="238"/>
      <c r="I50" s="239">
        <v>32</v>
      </c>
      <c r="J50" s="86"/>
    </row>
    <row r="51" spans="1:10" ht="12.75" customHeight="1" x14ac:dyDescent="0.3">
      <c r="A51" s="85"/>
      <c r="B51" s="234"/>
      <c r="C51" s="234"/>
      <c r="D51" s="234"/>
      <c r="E51" s="234"/>
      <c r="F51" s="234"/>
      <c r="G51" s="234"/>
      <c r="H51" s="234"/>
      <c r="I51" s="236"/>
      <c r="J51" s="86"/>
    </row>
    <row r="52" spans="1:10" ht="15.75" customHeight="1" x14ac:dyDescent="0.3">
      <c r="A52" s="85"/>
      <c r="B52" s="238" t="s">
        <v>399</v>
      </c>
      <c r="C52" s="238"/>
      <c r="D52" s="238"/>
      <c r="E52" s="238"/>
      <c r="F52" s="238"/>
      <c r="G52" s="238"/>
      <c r="H52" s="238"/>
      <c r="I52" s="239">
        <v>61</v>
      </c>
      <c r="J52" s="86"/>
    </row>
    <row r="53" spans="1:10" ht="15.75" customHeight="1" x14ac:dyDescent="0.3">
      <c r="A53" s="85"/>
      <c r="B53" s="234"/>
      <c r="C53" s="234"/>
      <c r="D53" s="234"/>
      <c r="E53" s="234"/>
      <c r="F53" s="234"/>
      <c r="G53" s="234"/>
      <c r="H53" s="234"/>
      <c r="I53" s="236"/>
      <c r="J53" s="86"/>
    </row>
    <row r="54" spans="1:10" x14ac:dyDescent="0.3">
      <c r="A54" s="85"/>
      <c r="B54" s="227"/>
      <c r="C54" s="227"/>
      <c r="D54" s="227"/>
      <c r="E54" s="227"/>
      <c r="F54" s="227"/>
      <c r="G54" s="227"/>
      <c r="H54" s="227"/>
      <c r="I54" s="227"/>
      <c r="J54" s="86"/>
    </row>
    <row r="55" spans="1:10" x14ac:dyDescent="0.3">
      <c r="A55" s="85"/>
      <c r="B55" s="227"/>
      <c r="C55" s="227"/>
      <c r="D55" s="227"/>
      <c r="E55" s="227"/>
      <c r="F55" s="227"/>
      <c r="G55" s="227"/>
      <c r="H55" s="227"/>
      <c r="I55" s="227"/>
      <c r="J55" s="86"/>
    </row>
    <row r="56" spans="1:10" x14ac:dyDescent="0.3">
      <c r="A56" s="85"/>
      <c r="B56" s="227"/>
      <c r="C56" s="227"/>
      <c r="D56" s="227"/>
      <c r="E56" s="227"/>
      <c r="F56" s="227"/>
      <c r="G56" s="227"/>
      <c r="H56" s="227"/>
      <c r="I56" s="227"/>
      <c r="J56" s="86"/>
    </row>
    <row r="57" spans="1:10" x14ac:dyDescent="0.3">
      <c r="A57" s="85"/>
      <c r="B57" s="227"/>
      <c r="C57" s="227"/>
      <c r="D57" s="227"/>
      <c r="E57" s="227"/>
      <c r="F57" s="227"/>
      <c r="G57" s="227"/>
      <c r="H57" s="227"/>
      <c r="I57" s="227"/>
      <c r="J57" s="86"/>
    </row>
    <row r="58" spans="1:10" x14ac:dyDescent="0.3">
      <c r="A58" s="85"/>
      <c r="B58" s="240" t="str">
        <f>CAPA!B58</f>
        <v>DEZEMBRO/2021</v>
      </c>
      <c r="C58" s="240"/>
      <c r="D58" s="240"/>
      <c r="E58" s="240"/>
      <c r="F58" s="240"/>
      <c r="G58" s="240"/>
      <c r="H58" s="240"/>
      <c r="I58" s="240"/>
      <c r="J58" s="86"/>
    </row>
    <row r="59" spans="1:10" x14ac:dyDescent="0.3">
      <c r="A59" s="85"/>
      <c r="B59" s="227"/>
      <c r="C59" s="227"/>
      <c r="D59" s="227"/>
      <c r="E59" s="227"/>
      <c r="F59" s="227"/>
      <c r="G59" s="227"/>
      <c r="H59" s="227"/>
      <c r="I59" s="227"/>
      <c r="J59" s="86"/>
    </row>
    <row r="60" spans="1:10" ht="14.4" thickBot="1" x14ac:dyDescent="0.35">
      <c r="A60" s="82"/>
      <c r="B60" s="231"/>
      <c r="C60" s="231"/>
      <c r="D60" s="231"/>
      <c r="E60" s="231"/>
      <c r="F60" s="231"/>
      <c r="G60" s="231"/>
      <c r="H60" s="231"/>
      <c r="I60" s="231"/>
      <c r="J60" s="84"/>
    </row>
  </sheetData>
  <mergeCells count="50">
    <mergeCell ref="B57:I57"/>
    <mergeCell ref="B58:I58"/>
    <mergeCell ref="B59:I59"/>
    <mergeCell ref="B60:I60"/>
    <mergeCell ref="B54:I54"/>
    <mergeCell ref="B55:I55"/>
    <mergeCell ref="B56:I56"/>
    <mergeCell ref="B52:H53"/>
    <mergeCell ref="I52:I53"/>
    <mergeCell ref="B48:H49"/>
    <mergeCell ref="I48:I49"/>
    <mergeCell ref="B50:H51"/>
    <mergeCell ref="I50:I51"/>
    <mergeCell ref="B42:H43"/>
    <mergeCell ref="I42:I43"/>
    <mergeCell ref="B44:H45"/>
    <mergeCell ref="I44:I45"/>
    <mergeCell ref="B46:H47"/>
    <mergeCell ref="I46:I47"/>
    <mergeCell ref="B36:H37"/>
    <mergeCell ref="I36:I37"/>
    <mergeCell ref="B38:H39"/>
    <mergeCell ref="I38:I39"/>
    <mergeCell ref="B40:H41"/>
    <mergeCell ref="I40:I41"/>
    <mergeCell ref="B34:H35"/>
    <mergeCell ref="I34:I35"/>
    <mergeCell ref="B13:I13"/>
    <mergeCell ref="B14:I14"/>
    <mergeCell ref="B15:I15"/>
    <mergeCell ref="B16:I16"/>
    <mergeCell ref="B17:I17"/>
    <mergeCell ref="B18:I26"/>
    <mergeCell ref="B27:I27"/>
    <mergeCell ref="B29:I29"/>
    <mergeCell ref="B30:I31"/>
    <mergeCell ref="B32:I32"/>
    <mergeCell ref="B33:I33"/>
    <mergeCell ref="B12:I12"/>
    <mergeCell ref="B1:H1"/>
    <mergeCell ref="B2:H2"/>
    <mergeCell ref="B3:H3"/>
    <mergeCell ref="B4:H4"/>
    <mergeCell ref="B5:H5"/>
    <mergeCell ref="B6:H6"/>
    <mergeCell ref="B7:H7"/>
    <mergeCell ref="B8:H8"/>
    <mergeCell ref="B9:I9"/>
    <mergeCell ref="B10:I10"/>
    <mergeCell ref="B11:I11"/>
  </mergeCells>
  <printOptions horizontalCentered="1"/>
  <pageMargins left="0.78740157480314965" right="0.59055118110236227" top="0.78740157480314965" bottom="0.98425196850393704" header="0.31496062992125984" footer="0.31496062992125984"/>
  <pageSetup paperSize="9" scale="9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9E95-0945-4C1A-8710-9176474207C5}">
  <sheetPr>
    <pageSetUpPr fitToPage="1"/>
  </sheetPr>
  <dimension ref="A1:J60"/>
  <sheetViews>
    <sheetView view="pageBreakPreview" zoomScaleNormal="100" zoomScaleSheetLayoutView="100" workbookViewId="0">
      <selection activeCell="B30" sqref="B30:I30"/>
    </sheetView>
  </sheetViews>
  <sheetFormatPr defaultColWidth="9.109375" defaultRowHeight="13.8" x14ac:dyDescent="0.3"/>
  <cols>
    <col min="1" max="16384" width="9.109375" style="77"/>
  </cols>
  <sheetData>
    <row r="1" spans="1:10" x14ac:dyDescent="0.3">
      <c r="A1" s="101"/>
      <c r="B1" s="228"/>
      <c r="C1" s="228"/>
      <c r="D1" s="228"/>
      <c r="E1" s="228"/>
      <c r="F1" s="228"/>
      <c r="G1" s="228"/>
      <c r="H1" s="228"/>
      <c r="I1" s="102"/>
      <c r="J1" s="103"/>
    </row>
    <row r="2" spans="1:10" x14ac:dyDescent="0.3">
      <c r="A2" s="85"/>
      <c r="B2" s="227"/>
      <c r="C2" s="227"/>
      <c r="D2" s="227"/>
      <c r="E2" s="227"/>
      <c r="F2" s="227"/>
      <c r="G2" s="227"/>
      <c r="H2" s="227"/>
      <c r="I2" s="104"/>
      <c r="J2" s="86"/>
    </row>
    <row r="3" spans="1:10" x14ac:dyDescent="0.3">
      <c r="A3" s="85"/>
      <c r="B3" s="227"/>
      <c r="C3" s="227"/>
      <c r="D3" s="227"/>
      <c r="E3" s="227"/>
      <c r="F3" s="227"/>
      <c r="G3" s="227"/>
      <c r="H3" s="227"/>
      <c r="I3" s="104"/>
      <c r="J3" s="86"/>
    </row>
    <row r="4" spans="1:10" x14ac:dyDescent="0.3">
      <c r="A4" s="85"/>
      <c r="B4" s="227"/>
      <c r="C4" s="227"/>
      <c r="D4" s="227"/>
      <c r="E4" s="227"/>
      <c r="F4" s="227"/>
      <c r="G4" s="227"/>
      <c r="H4" s="227"/>
      <c r="I4" s="104"/>
      <c r="J4" s="86"/>
    </row>
    <row r="5" spans="1:10" x14ac:dyDescent="0.3">
      <c r="A5" s="85"/>
      <c r="B5" s="227"/>
      <c r="C5" s="227"/>
      <c r="D5" s="227"/>
      <c r="E5" s="227"/>
      <c r="F5" s="227"/>
      <c r="G5" s="227"/>
      <c r="H5" s="227"/>
      <c r="I5" s="104"/>
      <c r="J5" s="86"/>
    </row>
    <row r="6" spans="1:10" x14ac:dyDescent="0.3">
      <c r="A6" s="85"/>
      <c r="B6" s="227"/>
      <c r="C6" s="227"/>
      <c r="D6" s="227"/>
      <c r="E6" s="227"/>
      <c r="F6" s="227"/>
      <c r="G6" s="227"/>
      <c r="H6" s="227"/>
      <c r="I6" s="104"/>
      <c r="J6" s="86"/>
    </row>
    <row r="7" spans="1:10" x14ac:dyDescent="0.3">
      <c r="A7" s="85"/>
      <c r="B7" s="227"/>
      <c r="C7" s="227"/>
      <c r="D7" s="227"/>
      <c r="E7" s="227"/>
      <c r="F7" s="227"/>
      <c r="G7" s="227"/>
      <c r="H7" s="227"/>
      <c r="I7" s="104"/>
      <c r="J7" s="86"/>
    </row>
    <row r="8" spans="1:10" x14ac:dyDescent="0.3">
      <c r="A8" s="85"/>
      <c r="B8" s="227"/>
      <c r="C8" s="227"/>
      <c r="D8" s="227"/>
      <c r="E8" s="227"/>
      <c r="F8" s="227"/>
      <c r="G8" s="227"/>
      <c r="H8" s="227"/>
      <c r="I8" s="104"/>
      <c r="J8" s="86"/>
    </row>
    <row r="9" spans="1:10" x14ac:dyDescent="0.3">
      <c r="A9" s="85"/>
      <c r="B9" s="227"/>
      <c r="C9" s="227"/>
      <c r="D9" s="227"/>
      <c r="E9" s="227"/>
      <c r="F9" s="227"/>
      <c r="G9" s="227"/>
      <c r="H9" s="227"/>
      <c r="I9" s="227"/>
      <c r="J9" s="86"/>
    </row>
    <row r="10" spans="1:10" x14ac:dyDescent="0.3">
      <c r="A10" s="85"/>
      <c r="B10" s="227"/>
      <c r="C10" s="227"/>
      <c r="D10" s="227"/>
      <c r="E10" s="227"/>
      <c r="F10" s="227"/>
      <c r="G10" s="227"/>
      <c r="H10" s="227"/>
      <c r="I10" s="227"/>
      <c r="J10" s="86"/>
    </row>
    <row r="11" spans="1:10" ht="15.6" x14ac:dyDescent="0.3">
      <c r="A11" s="85"/>
      <c r="B11" s="229" t="s">
        <v>12</v>
      </c>
      <c r="C11" s="229"/>
      <c r="D11" s="229"/>
      <c r="E11" s="229"/>
      <c r="F11" s="229"/>
      <c r="G11" s="229"/>
      <c r="H11" s="229"/>
      <c r="I11" s="229"/>
      <c r="J11" s="86"/>
    </row>
    <row r="12" spans="1:10" ht="15.6" x14ac:dyDescent="0.3">
      <c r="A12" s="85"/>
      <c r="B12" s="229" t="s">
        <v>15</v>
      </c>
      <c r="C12" s="229"/>
      <c r="D12" s="229"/>
      <c r="E12" s="229"/>
      <c r="F12" s="229"/>
      <c r="G12" s="229"/>
      <c r="H12" s="229"/>
      <c r="I12" s="229"/>
      <c r="J12" s="86"/>
    </row>
    <row r="13" spans="1:10" x14ac:dyDescent="0.3">
      <c r="A13" s="85"/>
      <c r="B13" s="227"/>
      <c r="C13" s="227"/>
      <c r="D13" s="227"/>
      <c r="E13" s="227"/>
      <c r="F13" s="227"/>
      <c r="G13" s="227"/>
      <c r="H13" s="227"/>
      <c r="I13" s="227"/>
      <c r="J13" s="86"/>
    </row>
    <row r="14" spans="1:10" x14ac:dyDescent="0.3">
      <c r="A14" s="85"/>
      <c r="B14" s="227"/>
      <c r="C14" s="227"/>
      <c r="D14" s="227"/>
      <c r="E14" s="227"/>
      <c r="F14" s="227"/>
      <c r="G14" s="227"/>
      <c r="H14" s="227"/>
      <c r="I14" s="227"/>
      <c r="J14" s="86"/>
    </row>
    <row r="15" spans="1:10" x14ac:dyDescent="0.3">
      <c r="A15" s="85"/>
      <c r="B15" s="227"/>
      <c r="C15" s="227"/>
      <c r="D15" s="227"/>
      <c r="E15" s="227"/>
      <c r="F15" s="227"/>
      <c r="G15" s="227"/>
      <c r="H15" s="227"/>
      <c r="I15" s="227"/>
      <c r="J15" s="86"/>
    </row>
    <row r="16" spans="1:10" x14ac:dyDescent="0.3">
      <c r="A16" s="85"/>
      <c r="B16" s="227"/>
      <c r="C16" s="227"/>
      <c r="D16" s="227"/>
      <c r="E16" s="227"/>
      <c r="F16" s="227"/>
      <c r="G16" s="227"/>
      <c r="H16" s="227"/>
      <c r="I16" s="227"/>
      <c r="J16" s="86"/>
    </row>
    <row r="17" spans="1:10" x14ac:dyDescent="0.3">
      <c r="A17" s="85"/>
      <c r="B17" s="227"/>
      <c r="C17" s="227"/>
      <c r="D17" s="227"/>
      <c r="E17" s="227"/>
      <c r="F17" s="227"/>
      <c r="G17" s="227"/>
      <c r="H17" s="227"/>
      <c r="I17" s="227"/>
      <c r="J17" s="86"/>
    </row>
    <row r="18" spans="1:10" x14ac:dyDescent="0.3">
      <c r="A18" s="85"/>
      <c r="B18" s="230" t="str">
        <f>CAPA!B26</f>
        <v>OBJETO: CONSTRUÇÃO DE CENTRO DE SAÚDE NA COMUNIDADE SÃO CIRÍACO NA REGIÃO DE VÁRZEA DO MUNICÍPIO DE SANTARÉM</v>
      </c>
      <c r="C18" s="230"/>
      <c r="D18" s="230"/>
      <c r="E18" s="230"/>
      <c r="F18" s="230"/>
      <c r="G18" s="230"/>
      <c r="H18" s="230"/>
      <c r="I18" s="230"/>
      <c r="J18" s="86"/>
    </row>
    <row r="19" spans="1:10" x14ac:dyDescent="0.3">
      <c r="A19" s="85"/>
      <c r="B19" s="230"/>
      <c r="C19" s="230"/>
      <c r="D19" s="230"/>
      <c r="E19" s="230"/>
      <c r="F19" s="230"/>
      <c r="G19" s="230"/>
      <c r="H19" s="230"/>
      <c r="I19" s="230"/>
      <c r="J19" s="86"/>
    </row>
    <row r="20" spans="1:10" x14ac:dyDescent="0.3">
      <c r="A20" s="85"/>
      <c r="B20" s="230"/>
      <c r="C20" s="230"/>
      <c r="D20" s="230"/>
      <c r="E20" s="230"/>
      <c r="F20" s="230"/>
      <c r="G20" s="230"/>
      <c r="H20" s="230"/>
      <c r="I20" s="230"/>
      <c r="J20" s="86"/>
    </row>
    <row r="21" spans="1:10" x14ac:dyDescent="0.3">
      <c r="A21" s="85"/>
      <c r="B21" s="230"/>
      <c r="C21" s="230"/>
      <c r="D21" s="230"/>
      <c r="E21" s="230"/>
      <c r="F21" s="230"/>
      <c r="G21" s="230"/>
      <c r="H21" s="230"/>
      <c r="I21" s="230"/>
      <c r="J21" s="86"/>
    </row>
    <row r="22" spans="1:10" x14ac:dyDescent="0.3">
      <c r="A22" s="85"/>
      <c r="B22" s="230"/>
      <c r="C22" s="230"/>
      <c r="D22" s="230"/>
      <c r="E22" s="230"/>
      <c r="F22" s="230"/>
      <c r="G22" s="230"/>
      <c r="H22" s="230"/>
      <c r="I22" s="230"/>
      <c r="J22" s="86"/>
    </row>
    <row r="23" spans="1:10" x14ac:dyDescent="0.3">
      <c r="A23" s="85"/>
      <c r="B23" s="230"/>
      <c r="C23" s="230"/>
      <c r="D23" s="230"/>
      <c r="E23" s="230"/>
      <c r="F23" s="230"/>
      <c r="G23" s="230"/>
      <c r="H23" s="230"/>
      <c r="I23" s="230"/>
      <c r="J23" s="86"/>
    </row>
    <row r="24" spans="1:10" x14ac:dyDescent="0.3">
      <c r="A24" s="85"/>
      <c r="B24" s="230"/>
      <c r="C24" s="230"/>
      <c r="D24" s="230"/>
      <c r="E24" s="230"/>
      <c r="F24" s="230"/>
      <c r="G24" s="230"/>
      <c r="H24" s="230"/>
      <c r="I24" s="230"/>
      <c r="J24" s="86"/>
    </row>
    <row r="25" spans="1:10" x14ac:dyDescent="0.3">
      <c r="A25" s="85"/>
      <c r="B25" s="230"/>
      <c r="C25" s="230"/>
      <c r="D25" s="230"/>
      <c r="E25" s="230"/>
      <c r="F25" s="230"/>
      <c r="G25" s="230"/>
      <c r="H25" s="230"/>
      <c r="I25" s="230"/>
      <c r="J25" s="86"/>
    </row>
    <row r="26" spans="1:10" ht="12.75" customHeight="1" x14ac:dyDescent="0.3">
      <c r="A26" s="85"/>
      <c r="B26" s="230"/>
      <c r="C26" s="230"/>
      <c r="D26" s="230"/>
      <c r="E26" s="230"/>
      <c r="F26" s="230"/>
      <c r="G26" s="230"/>
      <c r="H26" s="230"/>
      <c r="I26" s="230"/>
      <c r="J26" s="86"/>
    </row>
    <row r="27" spans="1:10" ht="12.75" customHeight="1" x14ac:dyDescent="0.3">
      <c r="A27" s="85"/>
      <c r="B27" s="227"/>
      <c r="C27" s="227"/>
      <c r="D27" s="227"/>
      <c r="E27" s="227"/>
      <c r="F27" s="227"/>
      <c r="G27" s="227"/>
      <c r="H27" s="227"/>
      <c r="I27" s="227"/>
      <c r="J27" s="86"/>
    </row>
    <row r="28" spans="1:10" ht="12.75" customHeight="1" x14ac:dyDescent="0.3">
      <c r="A28" s="85"/>
      <c r="B28" s="227"/>
      <c r="C28" s="227"/>
      <c r="D28" s="227"/>
      <c r="E28" s="227"/>
      <c r="F28" s="227"/>
      <c r="G28" s="227"/>
      <c r="H28" s="227"/>
      <c r="I28" s="227"/>
      <c r="J28" s="86"/>
    </row>
    <row r="29" spans="1:10" ht="12.75" customHeight="1" x14ac:dyDescent="0.3">
      <c r="A29" s="85"/>
      <c r="B29" s="227"/>
      <c r="C29" s="227"/>
      <c r="D29" s="227"/>
      <c r="E29" s="227"/>
      <c r="F29" s="227"/>
      <c r="G29" s="227"/>
      <c r="H29" s="227"/>
      <c r="I29" s="227"/>
      <c r="J29" s="86"/>
    </row>
    <row r="30" spans="1:10" ht="12.75" customHeight="1" x14ac:dyDescent="0.3">
      <c r="A30" s="85"/>
      <c r="B30" s="227"/>
      <c r="C30" s="227"/>
      <c r="D30" s="227"/>
      <c r="E30" s="227"/>
      <c r="F30" s="227"/>
      <c r="G30" s="227"/>
      <c r="H30" s="227"/>
      <c r="I30" s="227"/>
      <c r="J30" s="86"/>
    </row>
    <row r="31" spans="1:10" ht="12.75" customHeight="1" x14ac:dyDescent="0.3">
      <c r="A31" s="85"/>
      <c r="B31" s="227"/>
      <c r="C31" s="227"/>
      <c r="D31" s="227"/>
      <c r="E31" s="227"/>
      <c r="F31" s="227"/>
      <c r="G31" s="227"/>
      <c r="H31" s="227"/>
      <c r="I31" s="227"/>
      <c r="J31" s="86"/>
    </row>
    <row r="32" spans="1:10" ht="12.75" customHeight="1" x14ac:dyDescent="0.3">
      <c r="A32" s="85"/>
      <c r="B32" s="227"/>
      <c r="C32" s="227"/>
      <c r="D32" s="227"/>
      <c r="E32" s="227"/>
      <c r="F32" s="227"/>
      <c r="G32" s="227"/>
      <c r="H32" s="227"/>
      <c r="I32" s="227"/>
      <c r="J32" s="86"/>
    </row>
    <row r="33" spans="1:10" ht="12.75" customHeight="1" x14ac:dyDescent="0.3">
      <c r="A33" s="85"/>
      <c r="B33" s="227"/>
      <c r="C33" s="227"/>
      <c r="D33" s="227"/>
      <c r="E33" s="227"/>
      <c r="F33" s="227"/>
      <c r="G33" s="227"/>
      <c r="H33" s="227"/>
      <c r="I33" s="227"/>
      <c r="J33" s="86"/>
    </row>
    <row r="34" spans="1:10" ht="12.75" customHeight="1" x14ac:dyDescent="0.3">
      <c r="A34" s="85"/>
      <c r="B34" s="227"/>
      <c r="C34" s="227"/>
      <c r="D34" s="227"/>
      <c r="E34" s="227"/>
      <c r="F34" s="227"/>
      <c r="G34" s="227"/>
      <c r="H34" s="227"/>
      <c r="I34" s="227"/>
      <c r="J34" s="86"/>
    </row>
    <row r="35" spans="1:10" x14ac:dyDescent="0.3">
      <c r="A35" s="85"/>
      <c r="B35" s="227"/>
      <c r="C35" s="227"/>
      <c r="D35" s="227"/>
      <c r="E35" s="227"/>
      <c r="F35" s="227"/>
      <c r="G35" s="227"/>
      <c r="H35" s="227"/>
      <c r="I35" s="227"/>
      <c r="J35" s="86"/>
    </row>
    <row r="36" spans="1:10" x14ac:dyDescent="0.3">
      <c r="A36" s="85"/>
      <c r="B36" s="227"/>
      <c r="C36" s="227"/>
      <c r="D36" s="227"/>
      <c r="E36" s="227"/>
      <c r="F36" s="227"/>
      <c r="G36" s="227"/>
      <c r="H36" s="227"/>
      <c r="I36" s="227"/>
      <c r="J36" s="86"/>
    </row>
    <row r="37" spans="1:10" x14ac:dyDescent="0.3">
      <c r="A37" s="85"/>
      <c r="B37" s="237" t="s">
        <v>596</v>
      </c>
      <c r="C37" s="237"/>
      <c r="D37" s="237"/>
      <c r="E37" s="237"/>
      <c r="F37" s="237"/>
      <c r="G37" s="237"/>
      <c r="H37" s="237"/>
      <c r="I37" s="237"/>
      <c r="J37" s="86"/>
    </row>
    <row r="38" spans="1:10" x14ac:dyDescent="0.3">
      <c r="A38" s="85"/>
      <c r="B38" s="237"/>
      <c r="C38" s="237"/>
      <c r="D38" s="237"/>
      <c r="E38" s="237"/>
      <c r="F38" s="237"/>
      <c r="G38" s="237"/>
      <c r="H38" s="237"/>
      <c r="I38" s="237"/>
      <c r="J38" s="86"/>
    </row>
    <row r="39" spans="1:10" x14ac:dyDescent="0.3">
      <c r="A39" s="85"/>
      <c r="B39" s="227"/>
      <c r="C39" s="227"/>
      <c r="D39" s="227"/>
      <c r="E39" s="227"/>
      <c r="F39" s="227"/>
      <c r="G39" s="227"/>
      <c r="H39" s="227"/>
      <c r="I39" s="227"/>
      <c r="J39" s="86"/>
    </row>
    <row r="40" spans="1:10" x14ac:dyDescent="0.3">
      <c r="A40" s="85"/>
      <c r="B40" s="227"/>
      <c r="C40" s="227"/>
      <c r="D40" s="227"/>
      <c r="E40" s="227"/>
      <c r="F40" s="227"/>
      <c r="G40" s="227"/>
      <c r="H40" s="227"/>
      <c r="I40" s="227"/>
      <c r="J40" s="86"/>
    </row>
    <row r="41" spans="1:10" x14ac:dyDescent="0.3">
      <c r="A41" s="85"/>
      <c r="B41" s="227"/>
      <c r="C41" s="227"/>
      <c r="D41" s="227"/>
      <c r="E41" s="227"/>
      <c r="F41" s="227"/>
      <c r="G41" s="227"/>
      <c r="H41" s="227"/>
      <c r="I41" s="227"/>
      <c r="J41" s="86"/>
    </row>
    <row r="42" spans="1:10" x14ac:dyDescent="0.3">
      <c r="A42" s="85"/>
      <c r="B42" s="227"/>
      <c r="C42" s="227"/>
      <c r="D42" s="227"/>
      <c r="E42" s="227"/>
      <c r="F42" s="227"/>
      <c r="G42" s="227"/>
      <c r="H42" s="227"/>
      <c r="I42" s="227"/>
      <c r="J42" s="86"/>
    </row>
    <row r="43" spans="1:10" x14ac:dyDescent="0.3">
      <c r="A43" s="85"/>
      <c r="B43" s="227"/>
      <c r="C43" s="227"/>
      <c r="D43" s="227"/>
      <c r="E43" s="227"/>
      <c r="F43" s="227"/>
      <c r="G43" s="227"/>
      <c r="H43" s="227"/>
      <c r="I43" s="227"/>
      <c r="J43" s="86"/>
    </row>
    <row r="44" spans="1:10" x14ac:dyDescent="0.3">
      <c r="A44" s="85"/>
      <c r="B44" s="227"/>
      <c r="C44" s="227"/>
      <c r="D44" s="227"/>
      <c r="E44" s="227"/>
      <c r="F44" s="227"/>
      <c r="G44" s="227"/>
      <c r="H44" s="227"/>
      <c r="I44" s="227"/>
      <c r="J44" s="86"/>
    </row>
    <row r="45" spans="1:10" x14ac:dyDescent="0.3">
      <c r="A45" s="85"/>
      <c r="B45" s="227"/>
      <c r="C45" s="227"/>
      <c r="D45" s="227"/>
      <c r="E45" s="227"/>
      <c r="F45" s="227"/>
      <c r="G45" s="227"/>
      <c r="H45" s="227"/>
      <c r="I45" s="227"/>
      <c r="J45" s="86"/>
    </row>
    <row r="46" spans="1:10" x14ac:dyDescent="0.3">
      <c r="A46" s="85"/>
      <c r="B46" s="227"/>
      <c r="C46" s="227"/>
      <c r="D46" s="227"/>
      <c r="E46" s="227"/>
      <c r="F46" s="227"/>
      <c r="G46" s="227"/>
      <c r="H46" s="227"/>
      <c r="I46" s="227"/>
      <c r="J46" s="86"/>
    </row>
    <row r="47" spans="1:10" x14ac:dyDescent="0.3">
      <c r="A47" s="85"/>
      <c r="B47" s="227"/>
      <c r="C47" s="227"/>
      <c r="D47" s="227"/>
      <c r="E47" s="227"/>
      <c r="F47" s="227"/>
      <c r="G47" s="227"/>
      <c r="H47" s="227"/>
      <c r="I47" s="227"/>
      <c r="J47" s="86"/>
    </row>
    <row r="48" spans="1:10" x14ac:dyDescent="0.3">
      <c r="A48" s="85"/>
      <c r="B48" s="227"/>
      <c r="C48" s="227"/>
      <c r="D48" s="227"/>
      <c r="E48" s="227"/>
      <c r="F48" s="227"/>
      <c r="G48" s="227"/>
      <c r="H48" s="227"/>
      <c r="I48" s="227"/>
      <c r="J48" s="86"/>
    </row>
    <row r="49" spans="1:10" x14ac:dyDescent="0.3">
      <c r="A49" s="85"/>
      <c r="B49" s="227"/>
      <c r="C49" s="227"/>
      <c r="D49" s="227"/>
      <c r="E49" s="227"/>
      <c r="F49" s="227"/>
      <c r="G49" s="227"/>
      <c r="H49" s="227"/>
      <c r="I49" s="227"/>
      <c r="J49" s="86"/>
    </row>
    <row r="50" spans="1:10" x14ac:dyDescent="0.3">
      <c r="A50" s="85"/>
      <c r="B50" s="227"/>
      <c r="C50" s="227"/>
      <c r="D50" s="227"/>
      <c r="E50" s="227"/>
      <c r="F50" s="227"/>
      <c r="G50" s="227"/>
      <c r="H50" s="227"/>
      <c r="I50" s="227"/>
      <c r="J50" s="86"/>
    </row>
    <row r="51" spans="1:10" x14ac:dyDescent="0.3">
      <c r="A51" s="85"/>
      <c r="B51" s="227"/>
      <c r="C51" s="227"/>
      <c r="D51" s="227"/>
      <c r="E51" s="227"/>
      <c r="F51" s="227"/>
      <c r="G51" s="227"/>
      <c r="H51" s="227"/>
      <c r="I51" s="227"/>
      <c r="J51" s="86"/>
    </row>
    <row r="52" spans="1:10" x14ac:dyDescent="0.3">
      <c r="A52" s="85"/>
      <c r="B52" s="227"/>
      <c r="C52" s="227"/>
      <c r="D52" s="227"/>
      <c r="E52" s="227"/>
      <c r="F52" s="227"/>
      <c r="G52" s="227"/>
      <c r="H52" s="227"/>
      <c r="I52" s="227"/>
      <c r="J52" s="86"/>
    </row>
    <row r="53" spans="1:10" x14ac:dyDescent="0.3">
      <c r="A53" s="85"/>
      <c r="B53" s="227"/>
      <c r="C53" s="227"/>
      <c r="D53" s="227"/>
      <c r="E53" s="227"/>
      <c r="F53" s="227"/>
      <c r="G53" s="227"/>
      <c r="H53" s="227"/>
      <c r="I53" s="227"/>
      <c r="J53" s="86"/>
    </row>
    <row r="54" spans="1:10" x14ac:dyDescent="0.3">
      <c r="A54" s="85"/>
      <c r="B54" s="227"/>
      <c r="C54" s="227"/>
      <c r="D54" s="227"/>
      <c r="E54" s="227"/>
      <c r="F54" s="227"/>
      <c r="G54" s="227"/>
      <c r="H54" s="227"/>
      <c r="I54" s="227"/>
      <c r="J54" s="86"/>
    </row>
    <row r="55" spans="1:10" x14ac:dyDescent="0.3">
      <c r="A55" s="85"/>
      <c r="B55" s="227"/>
      <c r="C55" s="227"/>
      <c r="D55" s="227"/>
      <c r="E55" s="227"/>
      <c r="F55" s="227"/>
      <c r="G55" s="227"/>
      <c r="H55" s="227"/>
      <c r="I55" s="227"/>
      <c r="J55" s="86"/>
    </row>
    <row r="56" spans="1:10" x14ac:dyDescent="0.3">
      <c r="A56" s="85"/>
      <c r="B56" s="227"/>
      <c r="C56" s="227"/>
      <c r="D56" s="227"/>
      <c r="E56" s="227"/>
      <c r="F56" s="227"/>
      <c r="G56" s="227"/>
      <c r="H56" s="227"/>
      <c r="I56" s="227"/>
      <c r="J56" s="86"/>
    </row>
    <row r="57" spans="1:10" x14ac:dyDescent="0.3">
      <c r="A57" s="85"/>
      <c r="B57" s="227"/>
      <c r="C57" s="227"/>
      <c r="D57" s="227"/>
      <c r="E57" s="227"/>
      <c r="F57" s="227"/>
      <c r="G57" s="227"/>
      <c r="H57" s="227"/>
      <c r="I57" s="227"/>
      <c r="J57" s="86"/>
    </row>
    <row r="58" spans="1:10" x14ac:dyDescent="0.3">
      <c r="A58" s="85"/>
      <c r="B58" s="240" t="str">
        <f>CAPA!B58</f>
        <v>DEZEMBRO/2021</v>
      </c>
      <c r="C58" s="240"/>
      <c r="D58" s="240"/>
      <c r="E58" s="240"/>
      <c r="F58" s="240"/>
      <c r="G58" s="240"/>
      <c r="H58" s="240"/>
      <c r="I58" s="240"/>
      <c r="J58" s="86"/>
    </row>
    <row r="59" spans="1:10" x14ac:dyDescent="0.3">
      <c r="A59" s="85"/>
      <c r="B59" s="227"/>
      <c r="C59" s="227"/>
      <c r="D59" s="227"/>
      <c r="E59" s="227"/>
      <c r="F59" s="227"/>
      <c r="G59" s="227"/>
      <c r="H59" s="227"/>
      <c r="I59" s="227"/>
      <c r="J59" s="86"/>
    </row>
    <row r="60" spans="1:10" ht="14.4" thickBot="1" x14ac:dyDescent="0.35">
      <c r="A60" s="82"/>
      <c r="B60" s="231"/>
      <c r="C60" s="231"/>
      <c r="D60" s="231"/>
      <c r="E60" s="231"/>
      <c r="F60" s="231"/>
      <c r="G60" s="231"/>
      <c r="H60" s="231"/>
      <c r="I60" s="231"/>
      <c r="J60" s="84"/>
    </row>
  </sheetData>
  <mergeCells count="51">
    <mergeCell ref="B60:I60"/>
    <mergeCell ref="B56:I56"/>
    <mergeCell ref="B57:I57"/>
    <mergeCell ref="B58:I58"/>
    <mergeCell ref="B59:I59"/>
    <mergeCell ref="B52:I52"/>
    <mergeCell ref="B53:I53"/>
    <mergeCell ref="B54:I54"/>
    <mergeCell ref="B55:I55"/>
    <mergeCell ref="B46:I46"/>
    <mergeCell ref="B47:I47"/>
    <mergeCell ref="B48:I48"/>
    <mergeCell ref="B49:I49"/>
    <mergeCell ref="B50:I50"/>
    <mergeCell ref="B51:I51"/>
    <mergeCell ref="B45:I45"/>
    <mergeCell ref="B33:I33"/>
    <mergeCell ref="B34:I34"/>
    <mergeCell ref="B35:I35"/>
    <mergeCell ref="B36:I36"/>
    <mergeCell ref="B37:I38"/>
    <mergeCell ref="B39:I39"/>
    <mergeCell ref="B40:I40"/>
    <mergeCell ref="B41:I41"/>
    <mergeCell ref="B42:I42"/>
    <mergeCell ref="B43:I43"/>
    <mergeCell ref="B44:I44"/>
    <mergeCell ref="B32:I32"/>
    <mergeCell ref="B13:I13"/>
    <mergeCell ref="B14:I14"/>
    <mergeCell ref="B15:I15"/>
    <mergeCell ref="B16:I16"/>
    <mergeCell ref="B17:I17"/>
    <mergeCell ref="B18:I26"/>
    <mergeCell ref="B27:I27"/>
    <mergeCell ref="B28:I28"/>
    <mergeCell ref="B29:I29"/>
    <mergeCell ref="B30:I30"/>
    <mergeCell ref="B31:I31"/>
    <mergeCell ref="B12:I12"/>
    <mergeCell ref="B1:H1"/>
    <mergeCell ref="B2:H2"/>
    <mergeCell ref="B3:H3"/>
    <mergeCell ref="B4:H4"/>
    <mergeCell ref="B5:H5"/>
    <mergeCell ref="B6:H6"/>
    <mergeCell ref="B7:H7"/>
    <mergeCell ref="B8:H8"/>
    <mergeCell ref="B9:I9"/>
    <mergeCell ref="B10:I10"/>
    <mergeCell ref="B11:I11"/>
  </mergeCells>
  <printOptions horizontalCentered="1"/>
  <pageMargins left="0.78740157480314965" right="0.59055118110236227" top="0.78740157480314965" bottom="0.98425196850393704" header="0.31496062992125984" footer="0.31496062992125984"/>
  <pageSetup paperSize="9" scale="9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E75F-9DBB-403A-91A7-3BA3B46123F2}">
  <sheetPr>
    <pageSetUpPr fitToPage="1"/>
  </sheetPr>
  <dimension ref="A1:J133"/>
  <sheetViews>
    <sheetView view="pageBreakPreview" topLeftCell="A110" zoomScaleNormal="100" zoomScaleSheetLayoutView="100" workbookViewId="0">
      <selection activeCell="D12" sqref="D12"/>
    </sheetView>
  </sheetViews>
  <sheetFormatPr defaultColWidth="9.109375" defaultRowHeight="13.8" outlineLevelRow="1" x14ac:dyDescent="0.3"/>
  <cols>
    <col min="1" max="1" width="10.109375" style="67" customWidth="1"/>
    <col min="2" max="2" width="10.109375" style="68" customWidth="1"/>
    <col min="3" max="3" width="13.33203125" style="67" customWidth="1"/>
    <col min="4" max="4" width="60.109375" style="21" customWidth="1"/>
    <col min="5" max="5" width="8.109375" style="21" customWidth="1"/>
    <col min="6" max="10" width="13.109375" style="21" customWidth="1"/>
    <col min="11" max="16384" width="9.109375" style="21"/>
  </cols>
  <sheetData>
    <row r="1" spans="1:10" x14ac:dyDescent="0.3">
      <c r="A1" s="260"/>
      <c r="B1" s="263" t="s">
        <v>12</v>
      </c>
      <c r="C1" s="228"/>
      <c r="D1" s="228"/>
      <c r="E1" s="228"/>
      <c r="F1" s="264"/>
      <c r="G1" s="265" t="s">
        <v>13</v>
      </c>
      <c r="H1" s="265"/>
      <c r="I1" s="266" t="s">
        <v>14</v>
      </c>
      <c r="J1" s="267"/>
    </row>
    <row r="2" spans="1:10" x14ac:dyDescent="0.3">
      <c r="A2" s="261"/>
      <c r="B2" s="268" t="s">
        <v>615</v>
      </c>
      <c r="C2" s="227"/>
      <c r="D2" s="227"/>
      <c r="E2" s="227"/>
      <c r="F2" s="269"/>
      <c r="G2" s="270" t="s">
        <v>609</v>
      </c>
      <c r="H2" s="270"/>
      <c r="I2" s="271">
        <v>0.29070000000000001</v>
      </c>
      <c r="J2" s="272"/>
    </row>
    <row r="3" spans="1:10" x14ac:dyDescent="0.3">
      <c r="A3" s="261"/>
      <c r="B3" s="268" t="s">
        <v>616</v>
      </c>
      <c r="C3" s="227"/>
      <c r="D3" s="227"/>
      <c r="E3" s="227"/>
      <c r="F3" s="269"/>
      <c r="G3" s="270" t="s">
        <v>610</v>
      </c>
      <c r="H3" s="270"/>
      <c r="I3" s="271"/>
      <c r="J3" s="272"/>
    </row>
    <row r="4" spans="1:10" x14ac:dyDescent="0.3">
      <c r="A4" s="261"/>
      <c r="B4" s="268" t="s">
        <v>617</v>
      </c>
      <c r="C4" s="227"/>
      <c r="D4" s="227"/>
      <c r="E4" s="227"/>
      <c r="F4" s="269"/>
      <c r="G4" s="273"/>
      <c r="H4" s="273"/>
      <c r="I4" s="274" t="s">
        <v>18</v>
      </c>
      <c r="J4" s="275"/>
    </row>
    <row r="5" spans="1:10" x14ac:dyDescent="0.3">
      <c r="A5" s="261"/>
      <c r="B5" s="276" t="s">
        <v>640</v>
      </c>
      <c r="C5" s="277"/>
      <c r="D5" s="277"/>
      <c r="E5" s="277"/>
      <c r="F5" s="278"/>
      <c r="G5" s="282"/>
      <c r="H5" s="282"/>
      <c r="I5" s="241" t="s">
        <v>19</v>
      </c>
      <c r="J5" s="242"/>
    </row>
    <row r="6" spans="1:10" ht="14.4" thickBot="1" x14ac:dyDescent="0.35">
      <c r="A6" s="262"/>
      <c r="B6" s="279"/>
      <c r="C6" s="280"/>
      <c r="D6" s="280"/>
      <c r="E6" s="280"/>
      <c r="F6" s="281"/>
      <c r="G6" s="245"/>
      <c r="H6" s="245"/>
      <c r="I6" s="243"/>
      <c r="J6" s="244"/>
    </row>
    <row r="7" spans="1:10" ht="14.4" thickBot="1" x14ac:dyDescent="0.35">
      <c r="A7" s="249" t="s">
        <v>119</v>
      </c>
      <c r="B7" s="250"/>
      <c r="C7" s="250"/>
      <c r="D7" s="250"/>
      <c r="E7" s="250"/>
      <c r="F7" s="250"/>
      <c r="G7" s="250"/>
      <c r="H7" s="250"/>
      <c r="I7" s="250"/>
      <c r="J7" s="251"/>
    </row>
    <row r="8" spans="1:10" ht="27.6" x14ac:dyDescent="0.3">
      <c r="A8" s="22" t="s">
        <v>22</v>
      </c>
      <c r="B8" s="23" t="s">
        <v>47</v>
      </c>
      <c r="C8" s="23" t="s">
        <v>48</v>
      </c>
      <c r="D8" s="23" t="s">
        <v>49</v>
      </c>
      <c r="E8" s="23" t="s">
        <v>24</v>
      </c>
      <c r="F8" s="23" t="s">
        <v>120</v>
      </c>
      <c r="G8" s="23" t="s">
        <v>453</v>
      </c>
      <c r="H8" s="23" t="s">
        <v>121</v>
      </c>
      <c r="I8" s="23" t="s">
        <v>44</v>
      </c>
      <c r="J8" s="24" t="s">
        <v>50</v>
      </c>
    </row>
    <row r="9" spans="1:10" x14ac:dyDescent="0.3">
      <c r="A9" s="52">
        <v>1</v>
      </c>
      <c r="B9" s="53"/>
      <c r="C9" s="54"/>
      <c r="D9" s="55" t="s">
        <v>492</v>
      </c>
      <c r="E9" s="55"/>
      <c r="F9" s="56"/>
      <c r="G9" s="56"/>
      <c r="H9" s="56"/>
      <c r="I9" s="56">
        <f>SUBTOTAL(9,I10)</f>
        <v>17818.11</v>
      </c>
      <c r="J9" s="151">
        <f>SUBTOTAL(9,J10)</f>
        <v>4.1099999999999998E-2</v>
      </c>
    </row>
    <row r="10" spans="1:10" outlineLevel="1" x14ac:dyDescent="0.3">
      <c r="A10" s="57" t="s">
        <v>21</v>
      </c>
      <c r="B10" s="58" t="str">
        <f>CPU!B9</f>
        <v xml:space="preserve"> CSC-001 </v>
      </c>
      <c r="C10" s="59" t="s">
        <v>51</v>
      </c>
      <c r="D10" s="60" t="s">
        <v>492</v>
      </c>
      <c r="E10" s="60" t="s">
        <v>53</v>
      </c>
      <c r="F10" s="61">
        <f>VLOOKUP(A10,'MEMÓRIA DE CÁLCULO'!$A$9:$J$342,10,FALSE)</f>
        <v>1</v>
      </c>
      <c r="G10" s="61">
        <v>13805</v>
      </c>
      <c r="H10" s="61">
        <f>ROUND((G10+G10*$I$2),2)</f>
        <v>17818.11</v>
      </c>
      <c r="I10" s="61">
        <f>ROUND(F10*H10,2)</f>
        <v>17818.11</v>
      </c>
      <c r="J10" s="152">
        <f>I10/$I$126</f>
        <v>4.1099999999999998E-2</v>
      </c>
    </row>
    <row r="11" spans="1:10" x14ac:dyDescent="0.3">
      <c r="A11" s="52">
        <v>2</v>
      </c>
      <c r="B11" s="53"/>
      <c r="C11" s="54"/>
      <c r="D11" s="55" t="s">
        <v>32</v>
      </c>
      <c r="E11" s="55"/>
      <c r="F11" s="56"/>
      <c r="G11" s="56"/>
      <c r="H11" s="56"/>
      <c r="I11" s="56">
        <f>SUBTOTAL(9,I12:I18)</f>
        <v>40258.06</v>
      </c>
      <c r="J11" s="151">
        <f>SUBTOTAL(9,J12:J18)</f>
        <v>9.2869999999999994E-2</v>
      </c>
    </row>
    <row r="12" spans="1:10" outlineLevel="1" x14ac:dyDescent="0.3">
      <c r="A12" s="57" t="s">
        <v>29</v>
      </c>
      <c r="B12" s="58">
        <v>11340</v>
      </c>
      <c r="C12" s="59" t="s">
        <v>55</v>
      </c>
      <c r="D12" s="60" t="s">
        <v>496</v>
      </c>
      <c r="E12" s="60" t="s">
        <v>39</v>
      </c>
      <c r="F12" s="61">
        <f>VLOOKUP(A12,'MEMÓRIA DE CÁLCULO'!$A$9:$J$342,10,FALSE)</f>
        <v>6</v>
      </c>
      <c r="G12" s="61">
        <v>191.47</v>
      </c>
      <c r="H12" s="61">
        <f t="shared" ref="H12:H18" si="0">ROUND((G12+G12*$I$2),2)</f>
        <v>247.13</v>
      </c>
      <c r="I12" s="61">
        <f>ROUND(F12*H12,2)</f>
        <v>1482.78</v>
      </c>
      <c r="J12" s="152">
        <f t="shared" ref="J12:J18" si="1">I12/$I$126</f>
        <v>3.4199999999999999E-3</v>
      </c>
    </row>
    <row r="13" spans="1:10" ht="41.4" outlineLevel="1" x14ac:dyDescent="0.3">
      <c r="A13" s="57" t="s">
        <v>30</v>
      </c>
      <c r="B13" s="58">
        <v>98525</v>
      </c>
      <c r="C13" s="59" t="s">
        <v>54</v>
      </c>
      <c r="D13" s="60" t="s">
        <v>297</v>
      </c>
      <c r="E13" s="60" t="s">
        <v>39</v>
      </c>
      <c r="F13" s="61">
        <f>VLOOKUP(A13,'MEMÓRIA DE CÁLCULO'!$A$9:$J$342,10,FALSE)</f>
        <v>163.38999999999999</v>
      </c>
      <c r="G13" s="61">
        <v>0.61</v>
      </c>
      <c r="H13" s="61">
        <f t="shared" si="0"/>
        <v>0.79</v>
      </c>
      <c r="I13" s="61">
        <f t="shared" ref="I13:I17" si="2">ROUND(F13*H13,2)</f>
        <v>129.08000000000001</v>
      </c>
      <c r="J13" s="152">
        <f t="shared" si="1"/>
        <v>2.9999999999999997E-4</v>
      </c>
    </row>
    <row r="14" spans="1:10" ht="41.4" outlineLevel="1" x14ac:dyDescent="0.3">
      <c r="A14" s="57" t="s">
        <v>31</v>
      </c>
      <c r="B14" s="58">
        <v>101501</v>
      </c>
      <c r="C14" s="59" t="s">
        <v>54</v>
      </c>
      <c r="D14" s="60" t="s">
        <v>38</v>
      </c>
      <c r="E14" s="60" t="s">
        <v>41</v>
      </c>
      <c r="F14" s="61">
        <f>VLOOKUP(A14,'MEMÓRIA DE CÁLCULO'!$A$9:$J$342,10,FALSE)</f>
        <v>1</v>
      </c>
      <c r="G14" s="61">
        <v>1669.37</v>
      </c>
      <c r="H14" s="61">
        <f t="shared" si="0"/>
        <v>2154.66</v>
      </c>
      <c r="I14" s="61">
        <f t="shared" si="2"/>
        <v>2154.66</v>
      </c>
      <c r="J14" s="152">
        <f t="shared" si="1"/>
        <v>4.9699999999999996E-3</v>
      </c>
    </row>
    <row r="15" spans="1:10" outlineLevel="1" x14ac:dyDescent="0.3">
      <c r="A15" s="57" t="s">
        <v>33</v>
      </c>
      <c r="B15" s="58" t="s">
        <v>608</v>
      </c>
      <c r="C15" s="59" t="s">
        <v>51</v>
      </c>
      <c r="D15" s="60" t="s">
        <v>607</v>
      </c>
      <c r="E15" s="60" t="s">
        <v>41</v>
      </c>
      <c r="F15" s="61">
        <f>'MEMÓRIA DE CÁLCULO'!J18</f>
        <v>4</v>
      </c>
      <c r="G15" s="61">
        <f>CPU!G15</f>
        <v>5029.4399999999996</v>
      </c>
      <c r="H15" s="61">
        <f t="shared" si="0"/>
        <v>6491.5</v>
      </c>
      <c r="I15" s="61">
        <f t="shared" si="2"/>
        <v>25966</v>
      </c>
      <c r="J15" s="152">
        <f t="shared" si="1"/>
        <v>5.9900000000000002E-2</v>
      </c>
    </row>
    <row r="16" spans="1:10" ht="41.4" outlineLevel="1" x14ac:dyDescent="0.3">
      <c r="A16" s="57" t="s">
        <v>33</v>
      </c>
      <c r="B16" s="58">
        <v>93207</v>
      </c>
      <c r="C16" s="59" t="s">
        <v>54</v>
      </c>
      <c r="D16" s="60" t="s">
        <v>274</v>
      </c>
      <c r="E16" s="60" t="s">
        <v>39</v>
      </c>
      <c r="F16" s="61">
        <f>VLOOKUP(A16,'MEMÓRIA DE CÁLCULO'!$A$9:$J$342,10,FALSE)</f>
        <v>4</v>
      </c>
      <c r="G16" s="61">
        <v>769.32</v>
      </c>
      <c r="H16" s="61">
        <f t="shared" si="0"/>
        <v>992.96</v>
      </c>
      <c r="I16" s="61">
        <f t="shared" si="2"/>
        <v>3971.84</v>
      </c>
      <c r="J16" s="152">
        <f t="shared" si="1"/>
        <v>9.1599999999999997E-3</v>
      </c>
    </row>
    <row r="17" spans="1:10" outlineLevel="1" x14ac:dyDescent="0.3">
      <c r="A17" s="57" t="s">
        <v>34</v>
      </c>
      <c r="B17" s="58">
        <v>10009</v>
      </c>
      <c r="C17" s="59" t="s">
        <v>55</v>
      </c>
      <c r="D17" s="60" t="s">
        <v>36</v>
      </c>
      <c r="E17" s="60" t="s">
        <v>39</v>
      </c>
      <c r="F17" s="61">
        <f>VLOOKUP(A17,'MEMÓRIA DE CÁLCULO'!$A$9:$J$342,10,FALSE)</f>
        <v>163.38999999999999</v>
      </c>
      <c r="G17" s="61">
        <v>5.85</v>
      </c>
      <c r="H17" s="61">
        <f t="shared" si="0"/>
        <v>7.55</v>
      </c>
      <c r="I17" s="61">
        <f t="shared" si="2"/>
        <v>1233.5899999999999</v>
      </c>
      <c r="J17" s="152">
        <f t="shared" si="1"/>
        <v>2.8500000000000001E-3</v>
      </c>
    </row>
    <row r="18" spans="1:10" outlineLevel="1" x14ac:dyDescent="0.3">
      <c r="A18" s="57" t="s">
        <v>35</v>
      </c>
      <c r="B18" s="58">
        <v>10003</v>
      </c>
      <c r="C18" s="59" t="s">
        <v>55</v>
      </c>
      <c r="D18" s="60" t="s">
        <v>37</v>
      </c>
      <c r="E18" s="60" t="s">
        <v>39</v>
      </c>
      <c r="F18" s="61">
        <f>VLOOKUP(A18,'MEMÓRIA DE CÁLCULO'!$A$9:$J$342,10,FALSE)</f>
        <v>24.97</v>
      </c>
      <c r="G18" s="61">
        <v>165.07</v>
      </c>
      <c r="H18" s="61">
        <f t="shared" si="0"/>
        <v>213.06</v>
      </c>
      <c r="I18" s="61">
        <f>ROUND(F18*H18,2)</f>
        <v>5320.11</v>
      </c>
      <c r="J18" s="152">
        <f t="shared" si="1"/>
        <v>1.227E-2</v>
      </c>
    </row>
    <row r="19" spans="1:10" x14ac:dyDescent="0.3">
      <c r="A19" s="52">
        <v>3</v>
      </c>
      <c r="B19" s="53"/>
      <c r="C19" s="54"/>
      <c r="D19" s="55" t="s">
        <v>56</v>
      </c>
      <c r="E19" s="55"/>
      <c r="F19" s="56"/>
      <c r="G19" s="56"/>
      <c r="H19" s="56"/>
      <c r="I19" s="56">
        <f>SUBTOTAL(9,I20:I23)</f>
        <v>69922.320000000007</v>
      </c>
      <c r="J19" s="151">
        <f>SUBTOTAL(9,J20:J23)</f>
        <v>0.1613</v>
      </c>
    </row>
    <row r="20" spans="1:10" outlineLevel="1" x14ac:dyDescent="0.3">
      <c r="A20" s="57" t="s">
        <v>123</v>
      </c>
      <c r="B20" s="58" t="str">
        <f>CPU!B20</f>
        <v xml:space="preserve"> CSC-002 </v>
      </c>
      <c r="C20" s="59" t="s">
        <v>51</v>
      </c>
      <c r="D20" s="60" t="s">
        <v>586</v>
      </c>
      <c r="E20" s="60" t="s">
        <v>63</v>
      </c>
      <c r="F20" s="61">
        <f>VLOOKUP(A20,'MEMÓRIA DE CÁLCULO'!$A$9:$J$342,10,FALSE)</f>
        <v>303.32</v>
      </c>
      <c r="G20" s="61">
        <v>112.64</v>
      </c>
      <c r="H20" s="61">
        <f t="shared" ref="H20:H23" si="3">ROUND((G20+G20*$I$2),2)</f>
        <v>145.38</v>
      </c>
      <c r="I20" s="61">
        <f t="shared" ref="I20:I23" si="4">ROUND(F20*H20,2)</f>
        <v>44096.66</v>
      </c>
      <c r="J20" s="152">
        <f>I20/$I$126</f>
        <v>0.10172</v>
      </c>
    </row>
    <row r="21" spans="1:10" outlineLevel="1" x14ac:dyDescent="0.3">
      <c r="A21" s="57" t="s">
        <v>124</v>
      </c>
      <c r="B21" s="58" t="str">
        <f>CPU!B34</f>
        <v xml:space="preserve"> CSC-004 </v>
      </c>
      <c r="C21" s="59" t="s">
        <v>51</v>
      </c>
      <c r="D21" s="60" t="s">
        <v>483</v>
      </c>
      <c r="E21" s="60" t="s">
        <v>63</v>
      </c>
      <c r="F21" s="61">
        <f>VLOOKUP(A21,'MEMÓRIA DE CÁLCULO'!$A$9:$J$342,10,FALSE)</f>
        <v>103.75</v>
      </c>
      <c r="G21" s="61">
        <v>161.47999999999999</v>
      </c>
      <c r="H21" s="61">
        <f t="shared" si="3"/>
        <v>208.42</v>
      </c>
      <c r="I21" s="61">
        <f t="shared" si="4"/>
        <v>21623.58</v>
      </c>
      <c r="J21" s="152">
        <f>I21/$I$126</f>
        <v>4.9880000000000001E-2</v>
      </c>
    </row>
    <row r="22" spans="1:10" outlineLevel="1" x14ac:dyDescent="0.3">
      <c r="A22" s="57" t="s">
        <v>482</v>
      </c>
      <c r="B22" s="58" t="str">
        <f>CPU!B34</f>
        <v xml:space="preserve"> CSC-004 </v>
      </c>
      <c r="C22" s="59" t="s">
        <v>51</v>
      </c>
      <c r="D22" s="60" t="s">
        <v>491</v>
      </c>
      <c r="E22" s="60" t="s">
        <v>63</v>
      </c>
      <c r="F22" s="61">
        <f>VLOOKUP(A22,'MEMÓRIA DE CÁLCULO'!$A$9:$J$342,10,FALSE)</f>
        <v>3</v>
      </c>
      <c r="G22" s="61">
        <v>214.65</v>
      </c>
      <c r="H22" s="61">
        <f t="shared" si="3"/>
        <v>277.05</v>
      </c>
      <c r="I22" s="61">
        <f t="shared" si="4"/>
        <v>831.15</v>
      </c>
      <c r="J22" s="152">
        <f>I22/$I$126</f>
        <v>1.92E-3</v>
      </c>
    </row>
    <row r="23" spans="1:10" outlineLevel="1" x14ac:dyDescent="0.3">
      <c r="A23" s="57" t="s">
        <v>590</v>
      </c>
      <c r="B23" s="58">
        <v>80300</v>
      </c>
      <c r="C23" s="59" t="s">
        <v>55</v>
      </c>
      <c r="D23" s="60" t="s">
        <v>591</v>
      </c>
      <c r="E23" s="60" t="s">
        <v>39</v>
      </c>
      <c r="F23" s="61">
        <f>VLOOKUP(A23,'MEMÓRIA DE CÁLCULO'!$A$9:$J$342,10,FALSE)</f>
        <v>220.9</v>
      </c>
      <c r="G23" s="61">
        <v>11.82</v>
      </c>
      <c r="H23" s="61">
        <f t="shared" si="3"/>
        <v>15.26</v>
      </c>
      <c r="I23" s="61">
        <f t="shared" si="4"/>
        <v>3370.93</v>
      </c>
      <c r="J23" s="152">
        <f>I23/$I$126</f>
        <v>7.7799999999999996E-3</v>
      </c>
    </row>
    <row r="24" spans="1:10" x14ac:dyDescent="0.3">
      <c r="A24" s="52">
        <v>4</v>
      </c>
      <c r="B24" s="53"/>
      <c r="C24" s="54"/>
      <c r="D24" s="55" t="s">
        <v>46</v>
      </c>
      <c r="E24" s="55"/>
      <c r="F24" s="56"/>
      <c r="G24" s="56"/>
      <c r="H24" s="56"/>
      <c r="I24" s="56">
        <f>SUBTOTAL(9,I25)</f>
        <v>80644.479999999996</v>
      </c>
      <c r="J24" s="151">
        <f>SUBTOTAL(9,J25)</f>
        <v>0.18603</v>
      </c>
    </row>
    <row r="25" spans="1:10" outlineLevel="1" x14ac:dyDescent="0.3">
      <c r="A25" s="57" t="s">
        <v>125</v>
      </c>
      <c r="B25" s="58">
        <v>101746</v>
      </c>
      <c r="C25" s="59" t="s">
        <v>54</v>
      </c>
      <c r="D25" s="60" t="s">
        <v>57</v>
      </c>
      <c r="E25" s="60" t="s">
        <v>39</v>
      </c>
      <c r="F25" s="61">
        <f>VLOOKUP(A25,'MEMÓRIA DE CÁLCULO'!$A$9:$J$342,10,FALSE)</f>
        <v>159.43</v>
      </c>
      <c r="G25" s="61">
        <v>391.9</v>
      </c>
      <c r="H25" s="61">
        <f>ROUND((G25+G25*$I$2),2)</f>
        <v>505.83</v>
      </c>
      <c r="I25" s="61">
        <f>ROUND(F25*H25,2)</f>
        <v>80644.479999999996</v>
      </c>
      <c r="J25" s="152">
        <f>I25/$I$126</f>
        <v>0.18603</v>
      </c>
    </row>
    <row r="26" spans="1:10" x14ac:dyDescent="0.3">
      <c r="A26" s="52">
        <v>5</v>
      </c>
      <c r="B26" s="53"/>
      <c r="C26" s="54"/>
      <c r="D26" s="55" t="s">
        <v>45</v>
      </c>
      <c r="E26" s="55"/>
      <c r="F26" s="56"/>
      <c r="G26" s="56"/>
      <c r="H26" s="56"/>
      <c r="I26" s="56">
        <f>SUBTOTAL(9,I27:I28)</f>
        <v>88192.62</v>
      </c>
      <c r="J26" s="151">
        <f>SUBTOTAL(9,J27:J28)</f>
        <v>0.20344999999999999</v>
      </c>
    </row>
    <row r="27" spans="1:10" outlineLevel="1" x14ac:dyDescent="0.3">
      <c r="A27" s="57" t="s">
        <v>126</v>
      </c>
      <c r="B27" s="58">
        <v>60215</v>
      </c>
      <c r="C27" s="59" t="s">
        <v>55</v>
      </c>
      <c r="D27" s="60" t="s">
        <v>58</v>
      </c>
      <c r="E27" s="60" t="s">
        <v>39</v>
      </c>
      <c r="F27" s="61">
        <f>VLOOKUP(A27,'MEMÓRIA DE CÁLCULO'!$A$9:$J$342,10,FALSE)</f>
        <v>303.58</v>
      </c>
      <c r="G27" s="61">
        <v>194.26</v>
      </c>
      <c r="H27" s="61">
        <f t="shared" ref="H27:H28" si="5">ROUND((G27+G27*$I$2),2)</f>
        <v>250.73</v>
      </c>
      <c r="I27" s="61">
        <f t="shared" ref="I27:I28" si="6">ROUND(F27*H27,2)</f>
        <v>76116.61</v>
      </c>
      <c r="J27" s="152">
        <f>I27/$I$126</f>
        <v>0.17559</v>
      </c>
    </row>
    <row r="28" spans="1:10" ht="27.6" outlineLevel="1" x14ac:dyDescent="0.3">
      <c r="A28" s="57" t="s">
        <v>298</v>
      </c>
      <c r="B28" s="58">
        <v>102220</v>
      </c>
      <c r="C28" s="59" t="s">
        <v>54</v>
      </c>
      <c r="D28" s="60" t="s">
        <v>589</v>
      </c>
      <c r="E28" s="60" t="s">
        <v>39</v>
      </c>
      <c r="F28" s="61">
        <f>VLOOKUP(A28,'MEMÓRIA DE CÁLCULO'!$A$9:$J$342,10,FALSE)</f>
        <v>607.14</v>
      </c>
      <c r="G28" s="61">
        <v>15.41</v>
      </c>
      <c r="H28" s="61">
        <f t="shared" si="5"/>
        <v>19.89</v>
      </c>
      <c r="I28" s="61">
        <f t="shared" si="6"/>
        <v>12076.01</v>
      </c>
      <c r="J28" s="152">
        <f>I28/$I$126</f>
        <v>2.7859999999999999E-2</v>
      </c>
    </row>
    <row r="29" spans="1:10" x14ac:dyDescent="0.3">
      <c r="A29" s="52">
        <v>6</v>
      </c>
      <c r="B29" s="53"/>
      <c r="C29" s="54"/>
      <c r="D29" s="55" t="s">
        <v>60</v>
      </c>
      <c r="E29" s="55"/>
      <c r="F29" s="56"/>
      <c r="G29" s="56"/>
      <c r="H29" s="56"/>
      <c r="I29" s="56">
        <f>SUBTOTAL(9,I30:I32)</f>
        <v>28478.400000000001</v>
      </c>
      <c r="J29" s="151">
        <f>SUBTOTAL(9,J30:J32)</f>
        <v>6.5699999999999995E-2</v>
      </c>
    </row>
    <row r="30" spans="1:10" outlineLevel="1" x14ac:dyDescent="0.3">
      <c r="A30" s="57" t="s">
        <v>194</v>
      </c>
      <c r="B30" s="58">
        <v>90063</v>
      </c>
      <c r="C30" s="59" t="s">
        <v>55</v>
      </c>
      <c r="D30" s="60" t="s">
        <v>316</v>
      </c>
      <c r="E30" s="60" t="s">
        <v>39</v>
      </c>
      <c r="F30" s="61">
        <f>VLOOKUP(A30,'MEMÓRIA DE CÁLCULO'!$A$9:$J$342,10,FALSE)</f>
        <v>24.15</v>
      </c>
      <c r="G30" s="61">
        <v>786.82</v>
      </c>
      <c r="H30" s="61">
        <f t="shared" ref="H30:H32" si="7">ROUND((G30+G30*$I$2),2)</f>
        <v>1015.55</v>
      </c>
      <c r="I30" s="61">
        <f t="shared" ref="I30:I32" si="8">ROUND(F30*H30,2)</f>
        <v>24525.53</v>
      </c>
      <c r="J30" s="152">
        <f>I30/$I$126</f>
        <v>5.6579999999999998E-2</v>
      </c>
    </row>
    <row r="31" spans="1:10" ht="27.6" outlineLevel="1" x14ac:dyDescent="0.3">
      <c r="A31" s="57" t="s">
        <v>195</v>
      </c>
      <c r="B31" s="58">
        <v>102220</v>
      </c>
      <c r="C31" s="59" t="s">
        <v>54</v>
      </c>
      <c r="D31" s="60" t="s">
        <v>589</v>
      </c>
      <c r="E31" s="60" t="s">
        <v>39</v>
      </c>
      <c r="F31" s="61">
        <f>VLOOKUP(A31,'MEMÓRIA DE CÁLCULO'!$A$9:$J$342,10,FALSE)</f>
        <v>48.3</v>
      </c>
      <c r="G31" s="61">
        <v>15.41</v>
      </c>
      <c r="H31" s="61">
        <f t="shared" si="7"/>
        <v>19.89</v>
      </c>
      <c r="I31" s="61">
        <f t="shared" si="8"/>
        <v>960.69</v>
      </c>
      <c r="J31" s="152">
        <f>I31/$I$126</f>
        <v>2.2200000000000002E-3</v>
      </c>
    </row>
    <row r="32" spans="1:10" ht="55.2" outlineLevel="1" x14ac:dyDescent="0.3">
      <c r="A32" s="57" t="s">
        <v>196</v>
      </c>
      <c r="B32" s="58">
        <v>94570</v>
      </c>
      <c r="C32" s="59" t="s">
        <v>54</v>
      </c>
      <c r="D32" s="60" t="s">
        <v>317</v>
      </c>
      <c r="E32" s="60" t="s">
        <v>39</v>
      </c>
      <c r="F32" s="61">
        <f>VLOOKUP(A32,'MEMÓRIA DE CÁLCULO'!$A$9:$J$342,10,FALSE)</f>
        <v>9.9600000000000009</v>
      </c>
      <c r="G32" s="61">
        <v>232.76</v>
      </c>
      <c r="H32" s="61">
        <f t="shared" si="7"/>
        <v>300.42</v>
      </c>
      <c r="I32" s="61">
        <f t="shared" si="8"/>
        <v>2992.18</v>
      </c>
      <c r="J32" s="152">
        <f>I32/$I$126</f>
        <v>6.8999999999999999E-3</v>
      </c>
    </row>
    <row r="33" spans="1:10" x14ac:dyDescent="0.3">
      <c r="A33" s="52">
        <v>7</v>
      </c>
      <c r="B33" s="53"/>
      <c r="C33" s="54"/>
      <c r="D33" s="55" t="s">
        <v>59</v>
      </c>
      <c r="E33" s="55"/>
      <c r="F33" s="56"/>
      <c r="G33" s="56"/>
      <c r="H33" s="56"/>
      <c r="I33" s="56">
        <f>SUBTOTAL(9,I34:I37)</f>
        <v>28953.96</v>
      </c>
      <c r="J33" s="151">
        <f>SUBTOTAL(9,J34:J37)</f>
        <v>6.6790000000000002E-2</v>
      </c>
    </row>
    <row r="34" spans="1:10" ht="27.6" outlineLevel="1" x14ac:dyDescent="0.3">
      <c r="A34" s="57" t="s">
        <v>127</v>
      </c>
      <c r="B34" s="58">
        <v>96111</v>
      </c>
      <c r="C34" s="59" t="s">
        <v>54</v>
      </c>
      <c r="D34" s="60" t="s">
        <v>61</v>
      </c>
      <c r="E34" s="60" t="s">
        <v>39</v>
      </c>
      <c r="F34" s="61">
        <f>VLOOKUP(A34,'MEMÓRIA DE CÁLCULO'!$A$9:$J$342,10,FALSE)</f>
        <v>107.1</v>
      </c>
      <c r="G34" s="61">
        <v>67.97</v>
      </c>
      <c r="H34" s="61">
        <f t="shared" ref="H34:H37" si="9">ROUND((G34+G34*$I$2),2)</f>
        <v>87.73</v>
      </c>
      <c r="I34" s="61">
        <f t="shared" ref="I34:I37" si="10">ROUND(F34*H34,2)</f>
        <v>9395.8799999999992</v>
      </c>
      <c r="J34" s="152">
        <f>I34/$I$126</f>
        <v>2.1669999999999998E-2</v>
      </c>
    </row>
    <row r="35" spans="1:10" ht="27.6" outlineLevel="1" x14ac:dyDescent="0.3">
      <c r="A35" s="57" t="s">
        <v>128</v>
      </c>
      <c r="B35" s="58">
        <v>96121</v>
      </c>
      <c r="C35" s="59" t="s">
        <v>54</v>
      </c>
      <c r="D35" s="60" t="s">
        <v>62</v>
      </c>
      <c r="E35" s="60" t="s">
        <v>63</v>
      </c>
      <c r="F35" s="61">
        <f>VLOOKUP(A35,'MEMÓRIA DE CÁLCULO'!$A$9:$J$342,10,FALSE)</f>
        <v>161</v>
      </c>
      <c r="G35" s="61">
        <v>11.34</v>
      </c>
      <c r="H35" s="61">
        <f t="shared" si="9"/>
        <v>14.64</v>
      </c>
      <c r="I35" s="61">
        <f t="shared" si="10"/>
        <v>2357.04</v>
      </c>
      <c r="J35" s="152">
        <f>I35/$I$126</f>
        <v>5.4400000000000004E-3</v>
      </c>
    </row>
    <row r="36" spans="1:10" ht="41.4" outlineLevel="1" x14ac:dyDescent="0.3">
      <c r="A36" s="57" t="s">
        <v>129</v>
      </c>
      <c r="B36" s="58">
        <v>92543</v>
      </c>
      <c r="C36" s="59" t="s">
        <v>54</v>
      </c>
      <c r="D36" s="60" t="s">
        <v>64</v>
      </c>
      <c r="E36" s="60" t="s">
        <v>39</v>
      </c>
      <c r="F36" s="61">
        <f>VLOOKUP(A36,'MEMÓRIA DE CÁLCULO'!$A$9:$J$342,10,FALSE)</f>
        <v>155.16</v>
      </c>
      <c r="G36" s="61">
        <v>21.07</v>
      </c>
      <c r="H36" s="61">
        <f t="shared" si="9"/>
        <v>27.2</v>
      </c>
      <c r="I36" s="61">
        <f t="shared" si="10"/>
        <v>4220.3500000000004</v>
      </c>
      <c r="J36" s="152">
        <f>I36/$I$126</f>
        <v>9.7400000000000004E-3</v>
      </c>
    </row>
    <row r="37" spans="1:10" ht="27.6" outlineLevel="1" x14ac:dyDescent="0.3">
      <c r="A37" s="57" t="s">
        <v>130</v>
      </c>
      <c r="B37" s="58">
        <v>94213</v>
      </c>
      <c r="C37" s="59" t="s">
        <v>54</v>
      </c>
      <c r="D37" s="60" t="s">
        <v>583</v>
      </c>
      <c r="E37" s="60" t="s">
        <v>39</v>
      </c>
      <c r="F37" s="61">
        <f>VLOOKUP(A37,'MEMÓRIA DE CÁLCULO'!$A$9:$J$342,10,FALSE)</f>
        <v>155.16</v>
      </c>
      <c r="G37" s="61">
        <v>64.819999999999993</v>
      </c>
      <c r="H37" s="61">
        <f t="shared" si="9"/>
        <v>83.66</v>
      </c>
      <c r="I37" s="61">
        <f t="shared" si="10"/>
        <v>12980.69</v>
      </c>
      <c r="J37" s="152">
        <f>I37/$I$126</f>
        <v>2.9940000000000001E-2</v>
      </c>
    </row>
    <row r="38" spans="1:10" x14ac:dyDescent="0.3">
      <c r="A38" s="52">
        <v>8</v>
      </c>
      <c r="B38" s="53"/>
      <c r="C38" s="54"/>
      <c r="D38" s="55" t="s">
        <v>65</v>
      </c>
      <c r="E38" s="55"/>
      <c r="F38" s="56"/>
      <c r="G38" s="56"/>
      <c r="H38" s="56"/>
      <c r="I38" s="56">
        <f>SUBTOTAL(9,I39:I86)</f>
        <v>38289.300000000003</v>
      </c>
      <c r="J38" s="151">
        <f>SUBTOTAL(9,J39:J86)</f>
        <v>8.8340000000000002E-2</v>
      </c>
    </row>
    <row r="39" spans="1:10" x14ac:dyDescent="0.3">
      <c r="A39" s="62" t="s">
        <v>131</v>
      </c>
      <c r="B39" s="63"/>
      <c r="C39" s="64"/>
      <c r="D39" s="65" t="s">
        <v>66</v>
      </c>
      <c r="E39" s="65"/>
      <c r="F39" s="66"/>
      <c r="G39" s="66"/>
      <c r="H39" s="66"/>
      <c r="I39" s="66">
        <f>SUBTOTAL(9,I40:I50)</f>
        <v>19761.79</v>
      </c>
      <c r="J39" s="153">
        <f>SUBTOTAL(9,J40:J50)</f>
        <v>4.5580000000000002E-2</v>
      </c>
    </row>
    <row r="40" spans="1:10" ht="27.6" outlineLevel="1" x14ac:dyDescent="0.3">
      <c r="A40" s="57" t="s">
        <v>132</v>
      </c>
      <c r="B40" s="58">
        <v>86888</v>
      </c>
      <c r="C40" s="59" t="s">
        <v>54</v>
      </c>
      <c r="D40" s="60" t="s">
        <v>67</v>
      </c>
      <c r="E40" s="60" t="s">
        <v>41</v>
      </c>
      <c r="F40" s="61">
        <f>VLOOKUP(A40,'MEMÓRIA DE CÁLCULO'!$A$9:$J$342,10,FALSE)</f>
        <v>4</v>
      </c>
      <c r="G40" s="61">
        <v>530.12</v>
      </c>
      <c r="H40" s="61">
        <f t="shared" ref="H40:H50" si="11">ROUND((G40+G40*$I$2),2)</f>
        <v>684.23</v>
      </c>
      <c r="I40" s="61">
        <f t="shared" ref="I40:I50" si="12">ROUND(F40*H40,2)</f>
        <v>2736.92</v>
      </c>
      <c r="J40" s="152">
        <f t="shared" ref="J40:J50" si="13">I40/$I$126</f>
        <v>6.3099999999999996E-3</v>
      </c>
    </row>
    <row r="41" spans="1:10" outlineLevel="1" x14ac:dyDescent="0.3">
      <c r="A41" s="57" t="s">
        <v>133</v>
      </c>
      <c r="B41" s="58">
        <v>190691</v>
      </c>
      <c r="C41" s="59" t="s">
        <v>55</v>
      </c>
      <c r="D41" s="60" t="s">
        <v>229</v>
      </c>
      <c r="E41" s="60" t="s">
        <v>41</v>
      </c>
      <c r="F41" s="61">
        <f>VLOOKUP(A41,'MEMÓRIA DE CÁLCULO'!$A$9:$J$342,10,FALSE)</f>
        <v>4</v>
      </c>
      <c r="G41" s="61">
        <v>180.48</v>
      </c>
      <c r="H41" s="61">
        <f t="shared" si="11"/>
        <v>232.95</v>
      </c>
      <c r="I41" s="61">
        <f t="shared" si="12"/>
        <v>931.8</v>
      </c>
      <c r="J41" s="152">
        <f t="shared" si="13"/>
        <v>2.15E-3</v>
      </c>
    </row>
    <row r="42" spans="1:10" outlineLevel="1" x14ac:dyDescent="0.3">
      <c r="A42" s="57" t="s">
        <v>134</v>
      </c>
      <c r="B42" s="58">
        <v>190797</v>
      </c>
      <c r="C42" s="59" t="s">
        <v>55</v>
      </c>
      <c r="D42" s="60" t="s">
        <v>236</v>
      </c>
      <c r="E42" s="60" t="s">
        <v>41</v>
      </c>
      <c r="F42" s="61">
        <f>VLOOKUP(A42,'MEMÓRIA DE CÁLCULO'!$A$9:$J$342,10,FALSE)</f>
        <v>4</v>
      </c>
      <c r="G42" s="61">
        <v>83.27</v>
      </c>
      <c r="H42" s="61">
        <f t="shared" si="11"/>
        <v>107.48</v>
      </c>
      <c r="I42" s="61">
        <f t="shared" si="12"/>
        <v>429.92</v>
      </c>
      <c r="J42" s="152">
        <f t="shared" si="13"/>
        <v>9.8999999999999999E-4</v>
      </c>
    </row>
    <row r="43" spans="1:10" outlineLevel="1" x14ac:dyDescent="0.3">
      <c r="A43" s="57" t="s">
        <v>135</v>
      </c>
      <c r="B43" s="58">
        <v>190218</v>
      </c>
      <c r="C43" s="59" t="s">
        <v>55</v>
      </c>
      <c r="D43" s="60" t="s">
        <v>240</v>
      </c>
      <c r="E43" s="60" t="s">
        <v>41</v>
      </c>
      <c r="F43" s="61">
        <f>VLOOKUP(A43,'MEMÓRIA DE CÁLCULO'!$A$9:$J$342,10,FALSE)</f>
        <v>1</v>
      </c>
      <c r="G43" s="61">
        <v>83.54</v>
      </c>
      <c r="H43" s="61">
        <f t="shared" si="11"/>
        <v>107.83</v>
      </c>
      <c r="I43" s="61">
        <f t="shared" si="12"/>
        <v>107.83</v>
      </c>
      <c r="J43" s="152">
        <f t="shared" si="13"/>
        <v>2.5000000000000001E-4</v>
      </c>
    </row>
    <row r="44" spans="1:10" ht="55.2" outlineLevel="1" x14ac:dyDescent="0.3">
      <c r="A44" s="57" t="s">
        <v>137</v>
      </c>
      <c r="B44" s="58">
        <v>86939</v>
      </c>
      <c r="C44" s="59" t="s">
        <v>54</v>
      </c>
      <c r="D44" s="60" t="s">
        <v>228</v>
      </c>
      <c r="E44" s="60" t="s">
        <v>41</v>
      </c>
      <c r="F44" s="61">
        <f>VLOOKUP(A44,'MEMÓRIA DE CÁLCULO'!$A$9:$J$342,10,FALSE)</f>
        <v>7</v>
      </c>
      <c r="G44" s="61">
        <v>421.3</v>
      </c>
      <c r="H44" s="61">
        <f t="shared" si="11"/>
        <v>543.77</v>
      </c>
      <c r="I44" s="61">
        <f t="shared" si="12"/>
        <v>3806.39</v>
      </c>
      <c r="J44" s="152">
        <f t="shared" si="13"/>
        <v>8.7799999999999996E-3</v>
      </c>
    </row>
    <row r="45" spans="1:10" ht="41.4" outlineLevel="1" x14ac:dyDescent="0.3">
      <c r="A45" s="57" t="s">
        <v>230</v>
      </c>
      <c r="B45" s="58">
        <v>86928</v>
      </c>
      <c r="C45" s="59" t="s">
        <v>54</v>
      </c>
      <c r="D45" s="60" t="s">
        <v>68</v>
      </c>
      <c r="E45" s="60" t="s">
        <v>41</v>
      </c>
      <c r="F45" s="61">
        <f>VLOOKUP(A45,'MEMÓRIA DE CÁLCULO'!$A$9:$J$342,10,FALSE)</f>
        <v>1</v>
      </c>
      <c r="G45" s="61">
        <v>342.26</v>
      </c>
      <c r="H45" s="61">
        <f t="shared" si="11"/>
        <v>441.75</v>
      </c>
      <c r="I45" s="61">
        <f t="shared" si="12"/>
        <v>441.75</v>
      </c>
      <c r="J45" s="152">
        <f t="shared" si="13"/>
        <v>1.0200000000000001E-3</v>
      </c>
    </row>
    <row r="46" spans="1:10" ht="41.4" outlineLevel="1" x14ac:dyDescent="0.3">
      <c r="A46" s="57" t="s">
        <v>231</v>
      </c>
      <c r="B46" s="58" t="str">
        <f>CPU!B43</f>
        <v xml:space="preserve"> CSC-005 </v>
      </c>
      <c r="C46" s="59" t="s">
        <v>51</v>
      </c>
      <c r="D46" s="60" t="s">
        <v>69</v>
      </c>
      <c r="E46" s="60" t="s">
        <v>41</v>
      </c>
      <c r="F46" s="61">
        <f>VLOOKUP(A46,'MEMÓRIA DE CÁLCULO'!$A$9:$J$342,10,FALSE)</f>
        <v>2</v>
      </c>
      <c r="G46" s="61">
        <v>428.48</v>
      </c>
      <c r="H46" s="61">
        <f t="shared" si="11"/>
        <v>553.04</v>
      </c>
      <c r="I46" s="61">
        <f t="shared" si="12"/>
        <v>1106.08</v>
      </c>
      <c r="J46" s="152">
        <f t="shared" si="13"/>
        <v>2.5500000000000002E-3</v>
      </c>
    </row>
    <row r="47" spans="1:10" outlineLevel="1" x14ac:dyDescent="0.3">
      <c r="A47" s="57" t="s">
        <v>232</v>
      </c>
      <c r="B47" s="58">
        <v>190848</v>
      </c>
      <c r="C47" s="59" t="s">
        <v>55</v>
      </c>
      <c r="D47" s="60" t="s">
        <v>237</v>
      </c>
      <c r="E47" s="60" t="s">
        <v>41</v>
      </c>
      <c r="F47" s="61">
        <f>VLOOKUP(A47,'MEMÓRIA DE CÁLCULO'!$A$9:$J$342,10,FALSE)</f>
        <v>9</v>
      </c>
      <c r="G47" s="61">
        <v>81.150000000000006</v>
      </c>
      <c r="H47" s="61">
        <f t="shared" si="11"/>
        <v>104.74</v>
      </c>
      <c r="I47" s="61">
        <f t="shared" si="12"/>
        <v>942.66</v>
      </c>
      <c r="J47" s="152">
        <f t="shared" si="13"/>
        <v>2.1700000000000001E-3</v>
      </c>
    </row>
    <row r="48" spans="1:10" outlineLevel="1" x14ac:dyDescent="0.3">
      <c r="A48" s="57" t="s">
        <v>233</v>
      </c>
      <c r="B48" s="58">
        <v>190084</v>
      </c>
      <c r="C48" s="59" t="s">
        <v>55</v>
      </c>
      <c r="D48" s="60" t="s">
        <v>239</v>
      </c>
      <c r="E48" s="60" t="s">
        <v>41</v>
      </c>
      <c r="F48" s="61">
        <f>VLOOKUP(A48,'MEMÓRIA DE CÁLCULO'!$A$9:$J$342,10,FALSE)</f>
        <v>9</v>
      </c>
      <c r="G48" s="61">
        <v>69.239999999999995</v>
      </c>
      <c r="H48" s="61">
        <f t="shared" si="11"/>
        <v>89.37</v>
      </c>
      <c r="I48" s="61">
        <f t="shared" si="12"/>
        <v>804.33</v>
      </c>
      <c r="J48" s="152">
        <f t="shared" si="13"/>
        <v>1.8600000000000001E-3</v>
      </c>
    </row>
    <row r="49" spans="1:10" outlineLevel="1" x14ac:dyDescent="0.3">
      <c r="A49" s="57" t="s">
        <v>234</v>
      </c>
      <c r="B49" s="58">
        <v>190529</v>
      </c>
      <c r="C49" s="59" t="s">
        <v>55</v>
      </c>
      <c r="D49" s="60" t="s">
        <v>238</v>
      </c>
      <c r="E49" s="60" t="s">
        <v>41</v>
      </c>
      <c r="F49" s="61">
        <f>VLOOKUP(A49,'MEMÓRIA DE CÁLCULO'!$A$9:$J$342,10,FALSE)</f>
        <v>1</v>
      </c>
      <c r="G49" s="61">
        <v>4740.3500000000004</v>
      </c>
      <c r="H49" s="61">
        <f t="shared" si="11"/>
        <v>6118.37</v>
      </c>
      <c r="I49" s="61">
        <f t="shared" si="12"/>
        <v>6118.37</v>
      </c>
      <c r="J49" s="152">
        <f t="shared" si="13"/>
        <v>1.4109999999999999E-2</v>
      </c>
    </row>
    <row r="50" spans="1:10" outlineLevel="1" x14ac:dyDescent="0.3">
      <c r="A50" s="57" t="s">
        <v>235</v>
      </c>
      <c r="B50" s="58" t="str">
        <f>CPU!B54</f>
        <v xml:space="preserve"> CSC-006 </v>
      </c>
      <c r="C50" s="59" t="s">
        <v>51</v>
      </c>
      <c r="D50" s="60" t="s">
        <v>70</v>
      </c>
      <c r="E50" s="60" t="s">
        <v>41</v>
      </c>
      <c r="F50" s="61">
        <f>VLOOKUP(A50,'MEMÓRIA DE CÁLCULO'!$A$9:$J$342,10,FALSE)</f>
        <v>1</v>
      </c>
      <c r="G50" s="61">
        <v>1809.67</v>
      </c>
      <c r="H50" s="61">
        <f t="shared" si="11"/>
        <v>2335.7399999999998</v>
      </c>
      <c r="I50" s="61">
        <f t="shared" si="12"/>
        <v>2335.7399999999998</v>
      </c>
      <c r="J50" s="152">
        <f t="shared" si="13"/>
        <v>5.3899999999999998E-3</v>
      </c>
    </row>
    <row r="51" spans="1:10" x14ac:dyDescent="0.3">
      <c r="A51" s="62" t="s">
        <v>139</v>
      </c>
      <c r="B51" s="63"/>
      <c r="C51" s="64"/>
      <c r="D51" s="65" t="s">
        <v>71</v>
      </c>
      <c r="E51" s="65"/>
      <c r="F51" s="66"/>
      <c r="G51" s="66"/>
      <c r="H51" s="66"/>
      <c r="I51" s="66">
        <f>SUBTOTAL(9,I52:I69)</f>
        <v>1425.73</v>
      </c>
      <c r="J51" s="153">
        <f>SUBTOTAL(9,J52:J69)</f>
        <v>3.31E-3</v>
      </c>
    </row>
    <row r="52" spans="1:10" ht="27.6" outlineLevel="1" x14ac:dyDescent="0.3">
      <c r="A52" s="57" t="s">
        <v>140</v>
      </c>
      <c r="B52" s="58" t="str">
        <f>CPU!B72</f>
        <v xml:space="preserve"> CSC-007 </v>
      </c>
      <c r="C52" s="59" t="s">
        <v>51</v>
      </c>
      <c r="D52" s="60" t="s">
        <v>72</v>
      </c>
      <c r="E52" s="60" t="s">
        <v>41</v>
      </c>
      <c r="F52" s="61">
        <f>VLOOKUP(A52,'MEMÓRIA DE CÁLCULO'!$A$9:$J$342,10,FALSE)</f>
        <v>10</v>
      </c>
      <c r="G52" s="61">
        <v>7.42</v>
      </c>
      <c r="H52" s="61">
        <f t="shared" ref="H52:H69" si="14">ROUND((G52+G52*$I$2),2)</f>
        <v>9.58</v>
      </c>
      <c r="I52" s="61">
        <f t="shared" ref="I52:I69" si="15">ROUND(F52*H52,2)</f>
        <v>95.8</v>
      </c>
      <c r="J52" s="152">
        <f t="shared" ref="J52:J69" si="16">I52/$I$126</f>
        <v>2.2000000000000001E-4</v>
      </c>
    </row>
    <row r="53" spans="1:10" ht="27.6" outlineLevel="1" x14ac:dyDescent="0.3">
      <c r="A53" s="57" t="s">
        <v>142</v>
      </c>
      <c r="B53" s="58" t="str">
        <f>CPU!B82</f>
        <v xml:space="preserve"> CSC-008 </v>
      </c>
      <c r="C53" s="59" t="s">
        <v>51</v>
      </c>
      <c r="D53" s="60" t="s">
        <v>73</v>
      </c>
      <c r="E53" s="60" t="s">
        <v>41</v>
      </c>
      <c r="F53" s="61">
        <f>VLOOKUP(A53,'MEMÓRIA DE CÁLCULO'!$A$9:$J$342,10,FALSE)</f>
        <v>10</v>
      </c>
      <c r="G53" s="61">
        <v>7.76</v>
      </c>
      <c r="H53" s="61">
        <f t="shared" si="14"/>
        <v>10.02</v>
      </c>
      <c r="I53" s="61">
        <f t="shared" si="15"/>
        <v>100.2</v>
      </c>
      <c r="J53" s="152">
        <f t="shared" si="16"/>
        <v>2.3000000000000001E-4</v>
      </c>
    </row>
    <row r="54" spans="1:10" ht="41.4" outlineLevel="1" x14ac:dyDescent="0.3">
      <c r="A54" s="57" t="s">
        <v>144</v>
      </c>
      <c r="B54" s="58">
        <v>90375</v>
      </c>
      <c r="C54" s="59" t="s">
        <v>54</v>
      </c>
      <c r="D54" s="60" t="s">
        <v>74</v>
      </c>
      <c r="E54" s="60" t="s">
        <v>41</v>
      </c>
      <c r="F54" s="61">
        <f>VLOOKUP(A54,'MEMÓRIA DE CÁLCULO'!$A$9:$J$342,10,FALSE)</f>
        <v>5</v>
      </c>
      <c r="G54" s="61">
        <v>9.09</v>
      </c>
      <c r="H54" s="61">
        <f t="shared" si="14"/>
        <v>11.73</v>
      </c>
      <c r="I54" s="61">
        <f t="shared" si="15"/>
        <v>58.65</v>
      </c>
      <c r="J54" s="152">
        <f t="shared" si="16"/>
        <v>1.3999999999999999E-4</v>
      </c>
    </row>
    <row r="55" spans="1:10" ht="27.6" outlineLevel="1" x14ac:dyDescent="0.3">
      <c r="A55" s="57" t="s">
        <v>145</v>
      </c>
      <c r="B55" s="58">
        <v>89406</v>
      </c>
      <c r="C55" s="59" t="s">
        <v>54</v>
      </c>
      <c r="D55" s="60" t="s">
        <v>75</v>
      </c>
      <c r="E55" s="60" t="s">
        <v>41</v>
      </c>
      <c r="F55" s="61">
        <f>VLOOKUP(A55,'MEMÓRIA DE CÁLCULO'!$A$9:$J$342,10,FALSE)</f>
        <v>1</v>
      </c>
      <c r="G55" s="61">
        <v>8.15</v>
      </c>
      <c r="H55" s="61">
        <f t="shared" si="14"/>
        <v>10.52</v>
      </c>
      <c r="I55" s="61">
        <f t="shared" si="15"/>
        <v>10.52</v>
      </c>
      <c r="J55" s="152">
        <f t="shared" si="16"/>
        <v>2.0000000000000002E-5</v>
      </c>
    </row>
    <row r="56" spans="1:10" ht="27.6" outlineLevel="1" x14ac:dyDescent="0.3">
      <c r="A56" s="57" t="s">
        <v>146</v>
      </c>
      <c r="B56" s="58">
        <v>89410</v>
      </c>
      <c r="C56" s="59" t="s">
        <v>54</v>
      </c>
      <c r="D56" s="60" t="s">
        <v>76</v>
      </c>
      <c r="E56" s="60" t="s">
        <v>41</v>
      </c>
      <c r="F56" s="61">
        <f>VLOOKUP(A56,'MEMÓRIA DE CÁLCULO'!$A$9:$J$342,10,FALSE)</f>
        <v>12</v>
      </c>
      <c r="G56" s="61">
        <v>10.19</v>
      </c>
      <c r="H56" s="61">
        <f t="shared" si="14"/>
        <v>13.15</v>
      </c>
      <c r="I56" s="61">
        <f t="shared" si="15"/>
        <v>157.80000000000001</v>
      </c>
      <c r="J56" s="152">
        <f t="shared" si="16"/>
        <v>3.6000000000000002E-4</v>
      </c>
    </row>
    <row r="57" spans="1:10" ht="27.6" outlineLevel="1" x14ac:dyDescent="0.3">
      <c r="A57" s="57" t="s">
        <v>147</v>
      </c>
      <c r="B57" s="58">
        <v>89415</v>
      </c>
      <c r="C57" s="59" t="s">
        <v>54</v>
      </c>
      <c r="D57" s="60" t="s">
        <v>227</v>
      </c>
      <c r="E57" s="60" t="s">
        <v>41</v>
      </c>
      <c r="F57" s="61">
        <f>VLOOKUP(A57,'MEMÓRIA DE CÁLCULO'!$A$9:$J$342,10,FALSE)</f>
        <v>10</v>
      </c>
      <c r="G57" s="61">
        <v>15.34</v>
      </c>
      <c r="H57" s="61">
        <f t="shared" si="14"/>
        <v>19.8</v>
      </c>
      <c r="I57" s="61">
        <f t="shared" si="15"/>
        <v>198</v>
      </c>
      <c r="J57" s="152">
        <f t="shared" si="16"/>
        <v>4.6000000000000001E-4</v>
      </c>
    </row>
    <row r="58" spans="1:10" ht="27.6" outlineLevel="1" x14ac:dyDescent="0.3">
      <c r="A58" s="57" t="s">
        <v>148</v>
      </c>
      <c r="B58" s="58">
        <v>89499</v>
      </c>
      <c r="C58" s="59" t="s">
        <v>54</v>
      </c>
      <c r="D58" s="60" t="s">
        <v>78</v>
      </c>
      <c r="E58" s="60" t="s">
        <v>41</v>
      </c>
      <c r="F58" s="61">
        <f>VLOOKUP(A58,'MEMÓRIA DE CÁLCULO'!$A$9:$J$342,10,FALSE)</f>
        <v>1</v>
      </c>
      <c r="G58" s="61">
        <v>18.95</v>
      </c>
      <c r="H58" s="61">
        <f t="shared" si="14"/>
        <v>24.46</v>
      </c>
      <c r="I58" s="61">
        <f t="shared" si="15"/>
        <v>24.46</v>
      </c>
      <c r="J58" s="152">
        <f t="shared" si="16"/>
        <v>6.0000000000000002E-5</v>
      </c>
    </row>
    <row r="59" spans="1:10" ht="27.6" outlineLevel="1" x14ac:dyDescent="0.3">
      <c r="A59" s="57" t="s">
        <v>149</v>
      </c>
      <c r="B59" s="58">
        <v>89404</v>
      </c>
      <c r="C59" s="59" t="s">
        <v>54</v>
      </c>
      <c r="D59" s="60" t="s">
        <v>79</v>
      </c>
      <c r="E59" s="60" t="s">
        <v>41</v>
      </c>
      <c r="F59" s="61">
        <f>VLOOKUP(A59,'MEMÓRIA DE CÁLCULO'!$A$9:$J$342,10,FALSE)</f>
        <v>2</v>
      </c>
      <c r="G59" s="61">
        <v>6.57</v>
      </c>
      <c r="H59" s="61">
        <f t="shared" si="14"/>
        <v>8.48</v>
      </c>
      <c r="I59" s="61">
        <f t="shared" si="15"/>
        <v>16.96</v>
      </c>
      <c r="J59" s="152">
        <f t="shared" si="16"/>
        <v>4.0000000000000003E-5</v>
      </c>
    </row>
    <row r="60" spans="1:10" ht="27.6" outlineLevel="1" x14ac:dyDescent="0.3">
      <c r="A60" s="57" t="s">
        <v>150</v>
      </c>
      <c r="B60" s="58">
        <v>89408</v>
      </c>
      <c r="C60" s="59" t="s">
        <v>54</v>
      </c>
      <c r="D60" s="60" t="s">
        <v>80</v>
      </c>
      <c r="E60" s="60" t="s">
        <v>41</v>
      </c>
      <c r="F60" s="61">
        <f>VLOOKUP(A60,'MEMÓRIA DE CÁLCULO'!$A$9:$J$342,10,FALSE)</f>
        <v>2</v>
      </c>
      <c r="G60" s="61">
        <v>7.85</v>
      </c>
      <c r="H60" s="61">
        <f t="shared" si="14"/>
        <v>10.130000000000001</v>
      </c>
      <c r="I60" s="61">
        <f t="shared" si="15"/>
        <v>20.260000000000002</v>
      </c>
      <c r="J60" s="152">
        <f t="shared" si="16"/>
        <v>5.0000000000000002E-5</v>
      </c>
    </row>
    <row r="61" spans="1:10" ht="27.6" outlineLevel="1" x14ac:dyDescent="0.3">
      <c r="A61" s="57" t="s">
        <v>151</v>
      </c>
      <c r="B61" s="58">
        <v>89413</v>
      </c>
      <c r="C61" s="59" t="s">
        <v>54</v>
      </c>
      <c r="D61" s="60" t="s">
        <v>77</v>
      </c>
      <c r="E61" s="60" t="s">
        <v>41</v>
      </c>
      <c r="F61" s="61">
        <f>VLOOKUP(A61,'MEMÓRIA DE CÁLCULO'!$A$9:$J$342,10,FALSE)</f>
        <v>5</v>
      </c>
      <c r="G61" s="61">
        <v>11.14</v>
      </c>
      <c r="H61" s="61">
        <f t="shared" si="14"/>
        <v>14.38</v>
      </c>
      <c r="I61" s="61">
        <f t="shared" si="15"/>
        <v>71.900000000000006</v>
      </c>
      <c r="J61" s="152">
        <f t="shared" si="16"/>
        <v>1.7000000000000001E-4</v>
      </c>
    </row>
    <row r="62" spans="1:10" ht="27.6" outlineLevel="1" x14ac:dyDescent="0.3">
      <c r="A62" s="57" t="s">
        <v>152</v>
      </c>
      <c r="B62" s="58">
        <v>89497</v>
      </c>
      <c r="C62" s="59" t="s">
        <v>54</v>
      </c>
      <c r="D62" s="60" t="s">
        <v>81</v>
      </c>
      <c r="E62" s="60" t="s">
        <v>41</v>
      </c>
      <c r="F62" s="61">
        <f>VLOOKUP(A62,'MEMÓRIA DE CÁLCULO'!$A$9:$J$342,10,FALSE)</f>
        <v>3</v>
      </c>
      <c r="G62" s="61">
        <v>12.59</v>
      </c>
      <c r="H62" s="61">
        <f t="shared" si="14"/>
        <v>16.25</v>
      </c>
      <c r="I62" s="61">
        <f t="shared" si="15"/>
        <v>48.75</v>
      </c>
      <c r="J62" s="152">
        <f t="shared" si="16"/>
        <v>1.1E-4</v>
      </c>
    </row>
    <row r="63" spans="1:10" ht="27.6" outlineLevel="1" x14ac:dyDescent="0.3">
      <c r="A63" s="57" t="s">
        <v>153</v>
      </c>
      <c r="B63" s="58" t="str">
        <f>CPU!B92</f>
        <v xml:space="preserve"> CSC-009 </v>
      </c>
      <c r="C63" s="59" t="s">
        <v>51</v>
      </c>
      <c r="D63" s="60" t="s">
        <v>82</v>
      </c>
      <c r="E63" s="60" t="s">
        <v>41</v>
      </c>
      <c r="F63" s="61">
        <f>VLOOKUP(A63,'MEMÓRIA DE CÁLCULO'!$A$9:$J$342,10,FALSE)</f>
        <v>12</v>
      </c>
      <c r="G63" s="61">
        <v>14.51</v>
      </c>
      <c r="H63" s="61">
        <f t="shared" si="14"/>
        <v>18.73</v>
      </c>
      <c r="I63" s="61">
        <f t="shared" si="15"/>
        <v>224.76</v>
      </c>
      <c r="J63" s="152">
        <f t="shared" si="16"/>
        <v>5.1999999999999995E-4</v>
      </c>
    </row>
    <row r="64" spans="1:10" ht="41.4" outlineLevel="1" x14ac:dyDescent="0.3">
      <c r="A64" s="57" t="s">
        <v>155</v>
      </c>
      <c r="B64" s="58">
        <v>89442</v>
      </c>
      <c r="C64" s="59" t="s">
        <v>54</v>
      </c>
      <c r="D64" s="60" t="s">
        <v>83</v>
      </c>
      <c r="E64" s="60" t="s">
        <v>41</v>
      </c>
      <c r="F64" s="61">
        <f>VLOOKUP(A64,'MEMÓRIA DE CÁLCULO'!$A$9:$J$342,10,FALSE)</f>
        <v>7</v>
      </c>
      <c r="G64" s="61">
        <v>12.85</v>
      </c>
      <c r="H64" s="61">
        <f t="shared" si="14"/>
        <v>16.59</v>
      </c>
      <c r="I64" s="61">
        <f t="shared" si="15"/>
        <v>116.13</v>
      </c>
      <c r="J64" s="152">
        <f t="shared" si="16"/>
        <v>2.7E-4</v>
      </c>
    </row>
    <row r="65" spans="1:10" ht="27.6" outlineLevel="1" x14ac:dyDescent="0.3">
      <c r="A65" s="57" t="s">
        <v>156</v>
      </c>
      <c r="B65" s="58">
        <v>89624</v>
      </c>
      <c r="C65" s="59" t="s">
        <v>54</v>
      </c>
      <c r="D65" s="60" t="s">
        <v>84</v>
      </c>
      <c r="E65" s="60" t="s">
        <v>41</v>
      </c>
      <c r="F65" s="61">
        <f>VLOOKUP(A65,'MEMÓRIA DE CÁLCULO'!$A$9:$J$342,10,FALSE)</f>
        <v>7</v>
      </c>
      <c r="G65" s="61">
        <v>17.13</v>
      </c>
      <c r="H65" s="61">
        <f t="shared" si="14"/>
        <v>22.11</v>
      </c>
      <c r="I65" s="61">
        <f t="shared" si="15"/>
        <v>154.77000000000001</v>
      </c>
      <c r="J65" s="152">
        <f t="shared" si="16"/>
        <v>3.6000000000000002E-4</v>
      </c>
    </row>
    <row r="66" spans="1:10" ht="27.6" outlineLevel="1" x14ac:dyDescent="0.3">
      <c r="A66" s="57" t="s">
        <v>157</v>
      </c>
      <c r="B66" s="58">
        <v>89438</v>
      </c>
      <c r="C66" s="59" t="s">
        <v>54</v>
      </c>
      <c r="D66" s="60" t="s">
        <v>85</v>
      </c>
      <c r="E66" s="60" t="s">
        <v>41</v>
      </c>
      <c r="F66" s="61">
        <f>VLOOKUP(A66,'MEMÓRIA DE CÁLCULO'!$A$9:$J$342,10,FALSE)</f>
        <v>1</v>
      </c>
      <c r="G66" s="61">
        <v>9.17</v>
      </c>
      <c r="H66" s="61">
        <f t="shared" si="14"/>
        <v>11.84</v>
      </c>
      <c r="I66" s="61">
        <f t="shared" si="15"/>
        <v>11.84</v>
      </c>
      <c r="J66" s="152">
        <f t="shared" si="16"/>
        <v>3.0000000000000001E-5</v>
      </c>
    </row>
    <row r="67" spans="1:10" ht="27.6" outlineLevel="1" x14ac:dyDescent="0.3">
      <c r="A67" s="57" t="s">
        <v>158</v>
      </c>
      <c r="B67" s="58">
        <v>89443</v>
      </c>
      <c r="C67" s="59" t="s">
        <v>54</v>
      </c>
      <c r="D67" s="60" t="s">
        <v>86</v>
      </c>
      <c r="E67" s="60" t="s">
        <v>41</v>
      </c>
      <c r="F67" s="61">
        <f>VLOOKUP(A67,'MEMÓRIA DE CÁLCULO'!$A$9:$J$342,10,FALSE)</f>
        <v>1</v>
      </c>
      <c r="G67" s="61">
        <v>15.67</v>
      </c>
      <c r="H67" s="61">
        <f t="shared" si="14"/>
        <v>20.23</v>
      </c>
      <c r="I67" s="61">
        <f t="shared" si="15"/>
        <v>20.23</v>
      </c>
      <c r="J67" s="152">
        <f t="shared" si="16"/>
        <v>5.0000000000000002E-5</v>
      </c>
    </row>
    <row r="68" spans="1:10" ht="27.6" outlineLevel="1" x14ac:dyDescent="0.3">
      <c r="A68" s="57" t="s">
        <v>159</v>
      </c>
      <c r="B68" s="58">
        <v>89623</v>
      </c>
      <c r="C68" s="59" t="s">
        <v>54</v>
      </c>
      <c r="D68" s="60" t="s">
        <v>87</v>
      </c>
      <c r="E68" s="60" t="s">
        <v>41</v>
      </c>
      <c r="F68" s="61">
        <f>VLOOKUP(A68,'MEMÓRIA DE CÁLCULO'!$A$9:$J$342,10,FALSE)</f>
        <v>3</v>
      </c>
      <c r="G68" s="61">
        <v>18.52</v>
      </c>
      <c r="H68" s="61">
        <f t="shared" si="14"/>
        <v>23.9</v>
      </c>
      <c r="I68" s="61">
        <f t="shared" si="15"/>
        <v>71.7</v>
      </c>
      <c r="J68" s="152">
        <f t="shared" si="16"/>
        <v>1.7000000000000001E-4</v>
      </c>
    </row>
    <row r="69" spans="1:10" ht="41.4" outlineLevel="1" x14ac:dyDescent="0.3">
      <c r="A69" s="57" t="s">
        <v>160</v>
      </c>
      <c r="B69" s="58">
        <v>89394</v>
      </c>
      <c r="C69" s="59" t="s">
        <v>54</v>
      </c>
      <c r="D69" s="60" t="s">
        <v>88</v>
      </c>
      <c r="E69" s="60" t="s">
        <v>41</v>
      </c>
      <c r="F69" s="61">
        <f>VLOOKUP(A69,'MEMÓRIA DE CÁLCULO'!$A$9:$J$342,10,FALSE)</f>
        <v>1</v>
      </c>
      <c r="G69" s="61">
        <v>17.82</v>
      </c>
      <c r="H69" s="61">
        <f t="shared" si="14"/>
        <v>23</v>
      </c>
      <c r="I69" s="61">
        <f t="shared" si="15"/>
        <v>23</v>
      </c>
      <c r="J69" s="152">
        <f t="shared" si="16"/>
        <v>5.0000000000000002E-5</v>
      </c>
    </row>
    <row r="70" spans="1:10" x14ac:dyDescent="0.3">
      <c r="A70" s="62" t="s">
        <v>161</v>
      </c>
      <c r="B70" s="63"/>
      <c r="C70" s="64"/>
      <c r="D70" s="65" t="s">
        <v>89</v>
      </c>
      <c r="E70" s="65"/>
      <c r="F70" s="66"/>
      <c r="G70" s="66"/>
      <c r="H70" s="66"/>
      <c r="I70" s="66">
        <f>SUBTOTAL(9,I71:I74)</f>
        <v>451.56</v>
      </c>
      <c r="J70" s="153">
        <f>SUBTOTAL(9,J71:J74)</f>
        <v>1.0399999999999999E-3</v>
      </c>
    </row>
    <row r="71" spans="1:10" outlineLevel="1" x14ac:dyDescent="0.3">
      <c r="A71" s="57" t="s">
        <v>162</v>
      </c>
      <c r="B71" s="58" t="str">
        <f>CPU!B102</f>
        <v xml:space="preserve"> CSC-010 </v>
      </c>
      <c r="C71" s="59" t="s">
        <v>51</v>
      </c>
      <c r="D71" s="60" t="s">
        <v>90</v>
      </c>
      <c r="E71" s="60" t="s">
        <v>41</v>
      </c>
      <c r="F71" s="61">
        <f>VLOOKUP(A71,'MEMÓRIA DE CÁLCULO'!$A$9:$J$342,10,FALSE)</f>
        <v>3</v>
      </c>
      <c r="G71" s="61">
        <v>26.91</v>
      </c>
      <c r="H71" s="61">
        <f t="shared" ref="H71:H74" si="17">ROUND((G71+G71*$I$2),2)</f>
        <v>34.729999999999997</v>
      </c>
      <c r="I71" s="61">
        <f t="shared" ref="I71:I74" si="18">ROUND(F71*H71,2)</f>
        <v>104.19</v>
      </c>
      <c r="J71" s="152">
        <f>I71/$I$126</f>
        <v>2.4000000000000001E-4</v>
      </c>
    </row>
    <row r="72" spans="1:10" ht="41.4" outlineLevel="1" x14ac:dyDescent="0.3">
      <c r="A72" s="57" t="s">
        <v>164</v>
      </c>
      <c r="B72" s="58">
        <v>89810</v>
      </c>
      <c r="C72" s="59" t="s">
        <v>54</v>
      </c>
      <c r="D72" s="60" t="s">
        <v>91</v>
      </c>
      <c r="E72" s="60" t="s">
        <v>41</v>
      </c>
      <c r="F72" s="61">
        <f>VLOOKUP(A72,'MEMÓRIA DE CÁLCULO'!$A$9:$J$342,10,FALSE)</f>
        <v>1</v>
      </c>
      <c r="G72" s="61">
        <v>30.77</v>
      </c>
      <c r="H72" s="61">
        <f t="shared" si="17"/>
        <v>39.71</v>
      </c>
      <c r="I72" s="61">
        <f t="shared" si="18"/>
        <v>39.71</v>
      </c>
      <c r="J72" s="152">
        <f>I72/$I$126</f>
        <v>9.0000000000000006E-5</v>
      </c>
    </row>
    <row r="73" spans="1:10" ht="41.4" outlineLevel="1" x14ac:dyDescent="0.3">
      <c r="A73" s="57" t="s">
        <v>165</v>
      </c>
      <c r="B73" s="58">
        <v>89834</v>
      </c>
      <c r="C73" s="59" t="s">
        <v>54</v>
      </c>
      <c r="D73" s="60" t="s">
        <v>92</v>
      </c>
      <c r="E73" s="60" t="s">
        <v>41</v>
      </c>
      <c r="F73" s="61">
        <f>VLOOKUP(A73,'MEMÓRIA DE CÁLCULO'!$A$9:$J$342,10,FALSE)</f>
        <v>3</v>
      </c>
      <c r="G73" s="61">
        <v>55.52</v>
      </c>
      <c r="H73" s="61">
        <f t="shared" si="17"/>
        <v>71.66</v>
      </c>
      <c r="I73" s="61">
        <f t="shared" si="18"/>
        <v>214.98</v>
      </c>
      <c r="J73" s="152">
        <f>I73/$I$126</f>
        <v>5.0000000000000001E-4</v>
      </c>
    </row>
    <row r="74" spans="1:10" ht="41.4" outlineLevel="1" x14ac:dyDescent="0.3">
      <c r="A74" s="57" t="s">
        <v>166</v>
      </c>
      <c r="B74" s="58">
        <v>89821</v>
      </c>
      <c r="C74" s="59" t="s">
        <v>54</v>
      </c>
      <c r="D74" s="60" t="s">
        <v>93</v>
      </c>
      <c r="E74" s="60" t="s">
        <v>41</v>
      </c>
      <c r="F74" s="61">
        <f>VLOOKUP(A74,'MEMÓRIA DE CÁLCULO'!$A$9:$J$342,10,FALSE)</f>
        <v>4</v>
      </c>
      <c r="G74" s="61">
        <v>17.95</v>
      </c>
      <c r="H74" s="61">
        <f t="shared" si="17"/>
        <v>23.17</v>
      </c>
      <c r="I74" s="61">
        <f t="shared" si="18"/>
        <v>92.68</v>
      </c>
      <c r="J74" s="152">
        <f>I74/$I$126</f>
        <v>2.1000000000000001E-4</v>
      </c>
    </row>
    <row r="75" spans="1:10" x14ac:dyDescent="0.3">
      <c r="A75" s="62" t="s">
        <v>167</v>
      </c>
      <c r="B75" s="63"/>
      <c r="C75" s="64"/>
      <c r="D75" s="65" t="s">
        <v>94</v>
      </c>
      <c r="E75" s="65"/>
      <c r="F75" s="66"/>
      <c r="G75" s="66"/>
      <c r="H75" s="66"/>
      <c r="I75" s="66">
        <f>SUBTOTAL(9,I76:I77)</f>
        <v>620.57000000000005</v>
      </c>
      <c r="J75" s="153">
        <f>SUBTOTAL(9,J76:J77)</f>
        <v>1.4300000000000001E-3</v>
      </c>
    </row>
    <row r="76" spans="1:10" ht="41.4" outlineLevel="1" x14ac:dyDescent="0.3">
      <c r="A76" s="57" t="s">
        <v>168</v>
      </c>
      <c r="B76" s="58">
        <v>89985</v>
      </c>
      <c r="C76" s="59" t="s">
        <v>54</v>
      </c>
      <c r="D76" s="60" t="s">
        <v>95</v>
      </c>
      <c r="E76" s="60" t="s">
        <v>41</v>
      </c>
      <c r="F76" s="61">
        <f>VLOOKUP(A76,'MEMÓRIA DE CÁLCULO'!$A$9:$J$342,10,FALSE)</f>
        <v>1</v>
      </c>
      <c r="G76" s="61">
        <v>70.16</v>
      </c>
      <c r="H76" s="61">
        <f t="shared" ref="H76:H77" si="19">ROUND((G76+G76*$I$2),2)</f>
        <v>90.56</v>
      </c>
      <c r="I76" s="61">
        <f t="shared" ref="I76:I77" si="20">ROUND(F76*H76,2)</f>
        <v>90.56</v>
      </c>
      <c r="J76" s="152">
        <f>I76/$I$126</f>
        <v>2.1000000000000001E-4</v>
      </c>
    </row>
    <row r="77" spans="1:10" ht="41.4" outlineLevel="1" x14ac:dyDescent="0.3">
      <c r="A77" s="57" t="s">
        <v>169</v>
      </c>
      <c r="B77" s="58">
        <v>94490</v>
      </c>
      <c r="C77" s="59" t="s">
        <v>54</v>
      </c>
      <c r="D77" s="60" t="s">
        <v>96</v>
      </c>
      <c r="E77" s="60" t="s">
        <v>41</v>
      </c>
      <c r="F77" s="61">
        <f>VLOOKUP(A77,'MEMÓRIA DE CÁLCULO'!$A$9:$J$342,10,FALSE)</f>
        <v>13</v>
      </c>
      <c r="G77" s="61">
        <v>31.59</v>
      </c>
      <c r="H77" s="61">
        <f t="shared" si="19"/>
        <v>40.770000000000003</v>
      </c>
      <c r="I77" s="61">
        <f t="shared" si="20"/>
        <v>530.01</v>
      </c>
      <c r="J77" s="152">
        <f>I77/$I$126</f>
        <v>1.2199999999999999E-3</v>
      </c>
    </row>
    <row r="78" spans="1:10" x14ac:dyDescent="0.3">
      <c r="A78" s="62" t="s">
        <v>170</v>
      </c>
      <c r="B78" s="63"/>
      <c r="C78" s="64"/>
      <c r="D78" s="65" t="s">
        <v>97</v>
      </c>
      <c r="E78" s="65"/>
      <c r="F78" s="66"/>
      <c r="G78" s="66"/>
      <c r="H78" s="66"/>
      <c r="I78" s="66">
        <f>SUBTOTAL(9,I79:I83)</f>
        <v>3168.78</v>
      </c>
      <c r="J78" s="153">
        <f>SUBTOTAL(9,J79:J83)</f>
        <v>7.3099999999999997E-3</v>
      </c>
    </row>
    <row r="79" spans="1:10" ht="27.6" outlineLevel="1" x14ac:dyDescent="0.3">
      <c r="A79" s="57" t="s">
        <v>171</v>
      </c>
      <c r="B79" s="58">
        <v>89355</v>
      </c>
      <c r="C79" s="59" t="s">
        <v>54</v>
      </c>
      <c r="D79" s="60" t="s">
        <v>98</v>
      </c>
      <c r="E79" s="60" t="s">
        <v>63</v>
      </c>
      <c r="F79" s="61">
        <f>VLOOKUP(A79,'MEMÓRIA DE CÁLCULO'!$A$9:$J$342,10,FALSE)</f>
        <v>6.19</v>
      </c>
      <c r="G79" s="61">
        <v>18.53</v>
      </c>
      <c r="H79" s="61">
        <f t="shared" ref="H79:H83" si="21">ROUND((G79+G79*$I$2),2)</f>
        <v>23.92</v>
      </c>
      <c r="I79" s="61">
        <f t="shared" ref="I79:I83" si="22">ROUND(F79*H79,2)</f>
        <v>148.06</v>
      </c>
      <c r="J79" s="152">
        <f>I79/$I$126</f>
        <v>3.4000000000000002E-4</v>
      </c>
    </row>
    <row r="80" spans="1:10" ht="27.6" outlineLevel="1" x14ac:dyDescent="0.3">
      <c r="A80" s="57" t="s">
        <v>172</v>
      </c>
      <c r="B80" s="58">
        <v>89356</v>
      </c>
      <c r="C80" s="59" t="s">
        <v>54</v>
      </c>
      <c r="D80" s="60" t="s">
        <v>99</v>
      </c>
      <c r="E80" s="60" t="s">
        <v>63</v>
      </c>
      <c r="F80" s="61">
        <f>VLOOKUP(A80,'MEMÓRIA DE CÁLCULO'!$A$9:$J$342,10,FALSE)</f>
        <v>27.57</v>
      </c>
      <c r="G80" s="61">
        <v>21.35</v>
      </c>
      <c r="H80" s="61">
        <f t="shared" si="21"/>
        <v>27.56</v>
      </c>
      <c r="I80" s="61">
        <f t="shared" si="22"/>
        <v>759.83</v>
      </c>
      <c r="J80" s="152">
        <f>I80/$I$126</f>
        <v>1.75E-3</v>
      </c>
    </row>
    <row r="81" spans="1:10" ht="27.6" outlineLevel="1" x14ac:dyDescent="0.3">
      <c r="A81" s="57" t="s">
        <v>173</v>
      </c>
      <c r="B81" s="58">
        <v>89357</v>
      </c>
      <c r="C81" s="59" t="s">
        <v>54</v>
      </c>
      <c r="D81" s="60" t="s">
        <v>100</v>
      </c>
      <c r="E81" s="60" t="s">
        <v>63</v>
      </c>
      <c r="F81" s="61">
        <f>VLOOKUP(A81,'MEMÓRIA DE CÁLCULO'!$A$9:$J$342,10,FALSE)</f>
        <v>46.12</v>
      </c>
      <c r="G81" s="61">
        <v>29.83</v>
      </c>
      <c r="H81" s="61">
        <f t="shared" si="21"/>
        <v>38.5</v>
      </c>
      <c r="I81" s="61">
        <f t="shared" si="22"/>
        <v>1775.62</v>
      </c>
      <c r="J81" s="152">
        <f>I81/$I$126</f>
        <v>4.1000000000000003E-3</v>
      </c>
    </row>
    <row r="82" spans="1:10" ht="27.6" outlineLevel="1" x14ac:dyDescent="0.3">
      <c r="A82" s="57" t="s">
        <v>174</v>
      </c>
      <c r="B82" s="58">
        <v>89448</v>
      </c>
      <c r="C82" s="59" t="s">
        <v>54</v>
      </c>
      <c r="D82" s="60" t="s">
        <v>101</v>
      </c>
      <c r="E82" s="60" t="s">
        <v>63</v>
      </c>
      <c r="F82" s="61">
        <f>VLOOKUP(A82,'MEMÓRIA DE CÁLCULO'!$A$9:$J$342,10,FALSE)</f>
        <v>16.989999999999998</v>
      </c>
      <c r="G82" s="61">
        <v>16.61</v>
      </c>
      <c r="H82" s="61">
        <f t="shared" si="21"/>
        <v>21.44</v>
      </c>
      <c r="I82" s="61">
        <f t="shared" si="22"/>
        <v>364.27</v>
      </c>
      <c r="J82" s="152">
        <f>I82/$I$126</f>
        <v>8.4000000000000003E-4</v>
      </c>
    </row>
    <row r="83" spans="1:10" ht="41.4" outlineLevel="1" x14ac:dyDescent="0.3">
      <c r="A83" s="57" t="s">
        <v>175</v>
      </c>
      <c r="B83" s="58">
        <v>89714</v>
      </c>
      <c r="C83" s="59" t="s">
        <v>54</v>
      </c>
      <c r="D83" s="60" t="s">
        <v>102</v>
      </c>
      <c r="E83" s="60" t="s">
        <v>63</v>
      </c>
      <c r="F83" s="61">
        <f>VLOOKUP(A83,'MEMÓRIA DE CÁLCULO'!$A$9:$J$342,10,FALSE)</f>
        <v>2.59</v>
      </c>
      <c r="G83" s="61">
        <v>36.200000000000003</v>
      </c>
      <c r="H83" s="61">
        <f t="shared" si="21"/>
        <v>46.72</v>
      </c>
      <c r="I83" s="61">
        <f t="shared" si="22"/>
        <v>121</v>
      </c>
      <c r="J83" s="152">
        <f>I83/$I$126</f>
        <v>2.7999999999999998E-4</v>
      </c>
    </row>
    <row r="84" spans="1:10" x14ac:dyDescent="0.3">
      <c r="A84" s="62" t="s">
        <v>485</v>
      </c>
      <c r="B84" s="63"/>
      <c r="C84" s="64"/>
      <c r="D84" s="65" t="s">
        <v>488</v>
      </c>
      <c r="E84" s="65"/>
      <c r="F84" s="66"/>
      <c r="G84" s="66"/>
      <c r="H84" s="66"/>
      <c r="I84" s="66">
        <f>SUBTOTAL(9,I85:I86)</f>
        <v>12860.87</v>
      </c>
      <c r="J84" s="153">
        <f>SUBTOTAL(9,J85:J86)</f>
        <v>2.9669999999999998E-2</v>
      </c>
    </row>
    <row r="85" spans="1:10" outlineLevel="1" x14ac:dyDescent="0.3">
      <c r="A85" s="57" t="s">
        <v>486</v>
      </c>
      <c r="B85" s="58">
        <v>180544</v>
      </c>
      <c r="C85" s="59" t="s">
        <v>55</v>
      </c>
      <c r="D85" s="60" t="s">
        <v>489</v>
      </c>
      <c r="E85" s="60" t="s">
        <v>41</v>
      </c>
      <c r="F85" s="61">
        <f>VLOOKUP(A85,'MEMÓRIA DE CÁLCULO'!$A$9:$J$342,10,FALSE)</f>
        <v>1</v>
      </c>
      <c r="G85" s="61">
        <v>3556.49</v>
      </c>
      <c r="H85" s="61">
        <f t="shared" ref="H85:H86" si="23">ROUND((G85+G85*$I$2),2)</f>
        <v>4590.3599999999997</v>
      </c>
      <c r="I85" s="61">
        <f t="shared" ref="I85:I86" si="24">ROUND(F85*H85,2)</f>
        <v>4590.3599999999997</v>
      </c>
      <c r="J85" s="152">
        <f>I85/$I$126</f>
        <v>1.059E-2</v>
      </c>
    </row>
    <row r="86" spans="1:10" outlineLevel="1" x14ac:dyDescent="0.3">
      <c r="A86" s="57" t="s">
        <v>487</v>
      </c>
      <c r="B86" s="58">
        <v>180551</v>
      </c>
      <c r="C86" s="59" t="s">
        <v>55</v>
      </c>
      <c r="D86" s="60" t="s">
        <v>490</v>
      </c>
      <c r="E86" s="60" t="s">
        <v>41</v>
      </c>
      <c r="F86" s="61">
        <f>VLOOKUP(A86,'MEMÓRIA DE CÁLCULO'!$A$9:$J$342,10,FALSE)</f>
        <v>1</v>
      </c>
      <c r="G86" s="61">
        <v>6407.77</v>
      </c>
      <c r="H86" s="61">
        <f t="shared" si="23"/>
        <v>8270.51</v>
      </c>
      <c r="I86" s="61">
        <f t="shared" si="24"/>
        <v>8270.51</v>
      </c>
      <c r="J86" s="152">
        <f>I86/$I$126</f>
        <v>1.908E-2</v>
      </c>
    </row>
    <row r="87" spans="1:10" x14ac:dyDescent="0.3">
      <c r="A87" s="52">
        <v>9</v>
      </c>
      <c r="B87" s="53"/>
      <c r="C87" s="54"/>
      <c r="D87" s="55" t="s">
        <v>103</v>
      </c>
      <c r="E87" s="55"/>
      <c r="F87" s="56"/>
      <c r="G87" s="56"/>
      <c r="H87" s="56"/>
      <c r="I87" s="56">
        <f>SUBTOTAL(9,I88:I117)</f>
        <v>20917.87</v>
      </c>
      <c r="J87" s="151">
        <f>SUBTOTAL(9,J88:J117)</f>
        <v>4.8280000000000003E-2</v>
      </c>
    </row>
    <row r="88" spans="1:10" x14ac:dyDescent="0.3">
      <c r="A88" s="62" t="s">
        <v>176</v>
      </c>
      <c r="B88" s="63"/>
      <c r="C88" s="64"/>
      <c r="D88" s="65" t="s">
        <v>104</v>
      </c>
      <c r="E88" s="65"/>
      <c r="F88" s="66"/>
      <c r="G88" s="66"/>
      <c r="H88" s="66"/>
      <c r="I88" s="66">
        <f>SUBTOTAL(9,I89:I94)</f>
        <v>4238.8599999999997</v>
      </c>
      <c r="J88" s="153">
        <f>SUBTOTAL(9,J89:J94)</f>
        <v>9.7900000000000001E-3</v>
      </c>
    </row>
    <row r="89" spans="1:10" outlineLevel="1" x14ac:dyDescent="0.3">
      <c r="A89" s="57" t="s">
        <v>197</v>
      </c>
      <c r="B89" s="58">
        <v>170073</v>
      </c>
      <c r="C89" s="59" t="s">
        <v>55</v>
      </c>
      <c r="D89" s="60" t="s">
        <v>268</v>
      </c>
      <c r="E89" s="60" t="s">
        <v>41</v>
      </c>
      <c r="F89" s="61">
        <f>VLOOKUP(A89,'MEMÓRIA DE CÁLCULO'!$A$9:$J$342,10,FALSE)</f>
        <v>1</v>
      </c>
      <c r="G89" s="61">
        <v>1188.5999999999999</v>
      </c>
      <c r="H89" s="61">
        <f t="shared" ref="H89:H94" si="25">ROUND((G89+G89*$I$2),2)</f>
        <v>1534.13</v>
      </c>
      <c r="I89" s="61">
        <f t="shared" ref="I89:I94" si="26">ROUND(F89*H89,2)</f>
        <v>1534.13</v>
      </c>
      <c r="J89" s="152">
        <f t="shared" ref="J89:J94" si="27">I89/$I$126</f>
        <v>3.5400000000000002E-3</v>
      </c>
    </row>
    <row r="90" spans="1:10" outlineLevel="1" x14ac:dyDescent="0.3">
      <c r="A90" s="57" t="s">
        <v>198</v>
      </c>
      <c r="B90" s="58">
        <v>170321</v>
      </c>
      <c r="C90" s="59" t="s">
        <v>55</v>
      </c>
      <c r="D90" s="60" t="s">
        <v>267</v>
      </c>
      <c r="E90" s="60" t="s">
        <v>41</v>
      </c>
      <c r="F90" s="61">
        <f>VLOOKUP(A90,'MEMÓRIA DE CÁLCULO'!$A$9:$J$342,10,FALSE)</f>
        <v>1</v>
      </c>
      <c r="G90" s="61">
        <v>751.32</v>
      </c>
      <c r="H90" s="61">
        <f t="shared" si="25"/>
        <v>969.73</v>
      </c>
      <c r="I90" s="61">
        <f t="shared" si="26"/>
        <v>969.73</v>
      </c>
      <c r="J90" s="152">
        <f t="shared" si="27"/>
        <v>2.2399999999999998E-3</v>
      </c>
    </row>
    <row r="91" spans="1:10" ht="27.6" outlineLevel="1" x14ac:dyDescent="0.3">
      <c r="A91" s="57" t="s">
        <v>199</v>
      </c>
      <c r="B91" s="58">
        <v>93653</v>
      </c>
      <c r="C91" s="59" t="s">
        <v>54</v>
      </c>
      <c r="D91" s="60" t="s">
        <v>254</v>
      </c>
      <c r="E91" s="60" t="s">
        <v>41</v>
      </c>
      <c r="F91" s="61">
        <f>VLOOKUP(A91,'MEMÓRIA DE CÁLCULO'!$A$9:$J$342,10,FALSE)</f>
        <v>4</v>
      </c>
      <c r="G91" s="61">
        <v>11.39</v>
      </c>
      <c r="H91" s="61">
        <f t="shared" si="25"/>
        <v>14.7</v>
      </c>
      <c r="I91" s="61">
        <f t="shared" si="26"/>
        <v>58.8</v>
      </c>
      <c r="J91" s="152">
        <f t="shared" si="27"/>
        <v>1.3999999999999999E-4</v>
      </c>
    </row>
    <row r="92" spans="1:10" ht="27.6" outlineLevel="1" x14ac:dyDescent="0.3">
      <c r="A92" s="57" t="s">
        <v>200</v>
      </c>
      <c r="B92" s="58">
        <v>93658</v>
      </c>
      <c r="C92" s="59" t="s">
        <v>54</v>
      </c>
      <c r="D92" s="60" t="s">
        <v>255</v>
      </c>
      <c r="E92" s="60" t="s">
        <v>41</v>
      </c>
      <c r="F92" s="61">
        <f>VLOOKUP(A92,'MEMÓRIA DE CÁLCULO'!$A$9:$J$342,10,FALSE)</f>
        <v>1</v>
      </c>
      <c r="G92" s="61">
        <v>20.86</v>
      </c>
      <c r="H92" s="61">
        <f t="shared" si="25"/>
        <v>26.92</v>
      </c>
      <c r="I92" s="61">
        <f t="shared" si="26"/>
        <v>26.92</v>
      </c>
      <c r="J92" s="152">
        <f t="shared" si="27"/>
        <v>6.0000000000000002E-5</v>
      </c>
    </row>
    <row r="93" spans="1:10" ht="27.6" outlineLevel="1" x14ac:dyDescent="0.3">
      <c r="A93" s="57" t="s">
        <v>201</v>
      </c>
      <c r="B93" s="58" t="str">
        <f>CPU!B112</f>
        <v xml:space="preserve"> CSC-011 </v>
      </c>
      <c r="C93" s="59" t="s">
        <v>51</v>
      </c>
      <c r="D93" s="60" t="s">
        <v>256</v>
      </c>
      <c r="E93" s="60" t="s">
        <v>41</v>
      </c>
      <c r="F93" s="61">
        <f>VLOOKUP(A93,'MEMÓRIA DE CÁLCULO'!$A$9:$J$342,10,FALSE)</f>
        <v>6</v>
      </c>
      <c r="G93" s="61">
        <v>177.27</v>
      </c>
      <c r="H93" s="61">
        <f t="shared" si="25"/>
        <v>228.8</v>
      </c>
      <c r="I93" s="61">
        <f t="shared" si="26"/>
        <v>1372.8</v>
      </c>
      <c r="J93" s="152">
        <f t="shared" si="27"/>
        <v>3.1700000000000001E-3</v>
      </c>
    </row>
    <row r="94" spans="1:10" outlineLevel="1" x14ac:dyDescent="0.3">
      <c r="A94" s="57" t="s">
        <v>253</v>
      </c>
      <c r="B94" s="58" t="str">
        <f>CPU!B120</f>
        <v xml:space="preserve"> CSC-012 </v>
      </c>
      <c r="C94" s="59" t="s">
        <v>51</v>
      </c>
      <c r="D94" s="60" t="s">
        <v>257</v>
      </c>
      <c r="E94" s="60" t="s">
        <v>41</v>
      </c>
      <c r="F94" s="61">
        <f>VLOOKUP(A94,'MEMÓRIA DE CÁLCULO'!$A$9:$J$342,10,FALSE)</f>
        <v>1</v>
      </c>
      <c r="G94" s="61">
        <v>214.21</v>
      </c>
      <c r="H94" s="61">
        <f t="shared" si="25"/>
        <v>276.48</v>
      </c>
      <c r="I94" s="61">
        <f t="shared" si="26"/>
        <v>276.48</v>
      </c>
      <c r="J94" s="152">
        <f t="shared" si="27"/>
        <v>6.4000000000000005E-4</v>
      </c>
    </row>
    <row r="95" spans="1:10" x14ac:dyDescent="0.3">
      <c r="A95" s="62" t="s">
        <v>177</v>
      </c>
      <c r="B95" s="63"/>
      <c r="C95" s="64"/>
      <c r="D95" s="65" t="s">
        <v>105</v>
      </c>
      <c r="E95" s="65"/>
      <c r="F95" s="66"/>
      <c r="G95" s="66"/>
      <c r="H95" s="66"/>
      <c r="I95" s="66">
        <f>SUBTOTAL(9,I96:I98)</f>
        <v>1262.22</v>
      </c>
      <c r="J95" s="153">
        <f>SUBTOTAL(9,J96:J98)</f>
        <v>2.9199999999999999E-3</v>
      </c>
    </row>
    <row r="96" spans="1:10" ht="27.6" outlineLevel="1" x14ac:dyDescent="0.3">
      <c r="A96" s="57" t="s">
        <v>202</v>
      </c>
      <c r="B96" s="58">
        <v>91996</v>
      </c>
      <c r="C96" s="59" t="s">
        <v>54</v>
      </c>
      <c r="D96" s="60" t="s">
        <v>250</v>
      </c>
      <c r="E96" s="60" t="s">
        <v>41</v>
      </c>
      <c r="F96" s="61">
        <f>VLOOKUP(A96,'MEMÓRIA DE CÁLCULO'!$A$9:$J$342,10,FALSE)</f>
        <v>14</v>
      </c>
      <c r="G96" s="61">
        <v>32.270000000000003</v>
      </c>
      <c r="H96" s="61">
        <f t="shared" ref="H96:H98" si="28">ROUND((G96+G96*$I$2),2)</f>
        <v>41.65</v>
      </c>
      <c r="I96" s="61">
        <f t="shared" ref="I96:I98" si="29">ROUND(F96*H96,2)</f>
        <v>583.1</v>
      </c>
      <c r="J96" s="152">
        <f>I96/$I$126</f>
        <v>1.3500000000000001E-3</v>
      </c>
    </row>
    <row r="97" spans="1:10" ht="27.6" outlineLevel="1" x14ac:dyDescent="0.3">
      <c r="A97" s="57" t="s">
        <v>203</v>
      </c>
      <c r="B97" s="58">
        <v>91953</v>
      </c>
      <c r="C97" s="59" t="s">
        <v>54</v>
      </c>
      <c r="D97" s="60" t="s">
        <v>251</v>
      </c>
      <c r="E97" s="60" t="s">
        <v>41</v>
      </c>
      <c r="F97" s="61">
        <f>VLOOKUP(A97,'MEMÓRIA DE CÁLCULO'!$A$9:$J$342,10,FALSE)</f>
        <v>10</v>
      </c>
      <c r="G97" s="61">
        <v>27.46</v>
      </c>
      <c r="H97" s="61">
        <f t="shared" si="28"/>
        <v>35.44</v>
      </c>
      <c r="I97" s="61">
        <f t="shared" si="29"/>
        <v>354.4</v>
      </c>
      <c r="J97" s="152">
        <f>I97/$I$126</f>
        <v>8.1999999999999998E-4</v>
      </c>
    </row>
    <row r="98" spans="1:10" ht="27.6" outlineLevel="1" x14ac:dyDescent="0.3">
      <c r="A98" s="57" t="s">
        <v>204</v>
      </c>
      <c r="B98" s="58">
        <v>91959</v>
      </c>
      <c r="C98" s="59" t="s">
        <v>54</v>
      </c>
      <c r="D98" s="60" t="s">
        <v>252</v>
      </c>
      <c r="E98" s="60" t="s">
        <v>41</v>
      </c>
      <c r="F98" s="61">
        <f>VLOOKUP(A98,'MEMÓRIA DE CÁLCULO'!$A$9:$J$342,10,FALSE)</f>
        <v>6</v>
      </c>
      <c r="G98" s="61">
        <v>41.93</v>
      </c>
      <c r="H98" s="61">
        <f t="shared" si="28"/>
        <v>54.12</v>
      </c>
      <c r="I98" s="61">
        <f t="shared" si="29"/>
        <v>324.72000000000003</v>
      </c>
      <c r="J98" s="152">
        <f>I98/$I$126</f>
        <v>7.5000000000000002E-4</v>
      </c>
    </row>
    <row r="99" spans="1:10" x14ac:dyDescent="0.3">
      <c r="A99" s="62" t="s">
        <v>178</v>
      </c>
      <c r="B99" s="63"/>
      <c r="C99" s="64"/>
      <c r="D99" s="65" t="s">
        <v>106</v>
      </c>
      <c r="E99" s="65"/>
      <c r="F99" s="66"/>
      <c r="G99" s="66"/>
      <c r="H99" s="66"/>
      <c r="I99" s="66">
        <f>SUBTOTAL(9,I100:I101)</f>
        <v>4696.9799999999996</v>
      </c>
      <c r="J99" s="153">
        <f>SUBTOTAL(9,J100:J101)</f>
        <v>1.0840000000000001E-2</v>
      </c>
    </row>
    <row r="100" spans="1:10" ht="27.6" outlineLevel="1" x14ac:dyDescent="0.3">
      <c r="A100" s="57" t="s">
        <v>205</v>
      </c>
      <c r="B100" s="58" t="str">
        <f>CPU!B128</f>
        <v xml:space="preserve"> CSC-013 </v>
      </c>
      <c r="C100" s="59" t="s">
        <v>51</v>
      </c>
      <c r="D100" s="60" t="s">
        <v>260</v>
      </c>
      <c r="E100" s="60" t="s">
        <v>41</v>
      </c>
      <c r="F100" s="61">
        <f>VLOOKUP(A100,'MEMÓRIA DE CÁLCULO'!$A$9:$J$342,10,FALSE)</f>
        <v>4</v>
      </c>
      <c r="G100" s="61">
        <v>136.57</v>
      </c>
      <c r="H100" s="61">
        <f t="shared" ref="H100:H101" si="30">ROUND((G100+G100*$I$2),2)</f>
        <v>176.27</v>
      </c>
      <c r="I100" s="61">
        <f t="shared" ref="I100:I101" si="31">ROUND(F100*H100,2)</f>
        <v>705.08</v>
      </c>
      <c r="J100" s="152">
        <f>I100/$I$126</f>
        <v>1.6299999999999999E-3</v>
      </c>
    </row>
    <row r="101" spans="1:10" ht="27.6" outlineLevel="1" x14ac:dyDescent="0.3">
      <c r="A101" s="57" t="s">
        <v>206</v>
      </c>
      <c r="B101" s="58" t="str">
        <f>CPU!B136</f>
        <v xml:space="preserve"> CSC-014 </v>
      </c>
      <c r="C101" s="59" t="s">
        <v>51</v>
      </c>
      <c r="D101" s="60" t="s">
        <v>261</v>
      </c>
      <c r="E101" s="60" t="s">
        <v>41</v>
      </c>
      <c r="F101" s="61">
        <f>VLOOKUP(A101,'MEMÓRIA DE CÁLCULO'!$A$9:$J$342,10,FALSE)</f>
        <v>22</v>
      </c>
      <c r="G101" s="61">
        <v>140.58000000000001</v>
      </c>
      <c r="H101" s="61">
        <f t="shared" si="30"/>
        <v>181.45</v>
      </c>
      <c r="I101" s="61">
        <f t="shared" si="31"/>
        <v>3991.9</v>
      </c>
      <c r="J101" s="152">
        <f>I101/$I$126</f>
        <v>9.2099999999999994E-3</v>
      </c>
    </row>
    <row r="102" spans="1:10" x14ac:dyDescent="0.3">
      <c r="A102" s="62" t="s">
        <v>179</v>
      </c>
      <c r="B102" s="63"/>
      <c r="C102" s="64"/>
      <c r="D102" s="65" t="s">
        <v>107</v>
      </c>
      <c r="E102" s="65"/>
      <c r="F102" s="66"/>
      <c r="G102" s="66"/>
      <c r="H102" s="66"/>
      <c r="I102" s="66">
        <f>SUBTOTAL(9,I103:I105)</f>
        <v>4432.74</v>
      </c>
      <c r="J102" s="153">
        <f>SUBTOTAL(9,J103:J105)</f>
        <v>1.023E-2</v>
      </c>
    </row>
    <row r="103" spans="1:10" ht="27.6" outlineLevel="1" x14ac:dyDescent="0.3">
      <c r="A103" s="57" t="s">
        <v>180</v>
      </c>
      <c r="B103" s="58">
        <v>91925</v>
      </c>
      <c r="C103" s="59" t="s">
        <v>54</v>
      </c>
      <c r="D103" s="60" t="s">
        <v>108</v>
      </c>
      <c r="E103" s="60" t="s">
        <v>63</v>
      </c>
      <c r="F103" s="61">
        <f>VLOOKUP(A103,'MEMÓRIA DE CÁLCULO'!$A$9:$J$342,10,FALSE)</f>
        <v>364.6</v>
      </c>
      <c r="G103" s="61">
        <v>3.62</v>
      </c>
      <c r="H103" s="61">
        <f t="shared" ref="H103:H105" si="32">ROUND((G103+G103*$I$2),2)</f>
        <v>4.67</v>
      </c>
      <c r="I103" s="61">
        <f t="shared" ref="I103:I105" si="33">ROUND(F103*H103,2)</f>
        <v>1702.68</v>
      </c>
      <c r="J103" s="152">
        <f>I103/$I$126</f>
        <v>3.9300000000000003E-3</v>
      </c>
    </row>
    <row r="104" spans="1:10" ht="27.6" outlineLevel="1" x14ac:dyDescent="0.3">
      <c r="A104" s="57" t="s">
        <v>181</v>
      </c>
      <c r="B104" s="58">
        <v>91927</v>
      </c>
      <c r="C104" s="59" t="s">
        <v>54</v>
      </c>
      <c r="D104" s="60" t="s">
        <v>109</v>
      </c>
      <c r="E104" s="60" t="s">
        <v>63</v>
      </c>
      <c r="F104" s="61">
        <f>VLOOKUP(A104,'MEMÓRIA DE CÁLCULO'!$A$9:$J$342,10,FALSE)</f>
        <v>262.5</v>
      </c>
      <c r="G104" s="61">
        <v>4.87</v>
      </c>
      <c r="H104" s="61">
        <f t="shared" si="32"/>
        <v>6.29</v>
      </c>
      <c r="I104" s="61">
        <f t="shared" si="33"/>
        <v>1651.13</v>
      </c>
      <c r="J104" s="152">
        <f>I104/$I$126</f>
        <v>3.81E-3</v>
      </c>
    </row>
    <row r="105" spans="1:10" ht="27.6" outlineLevel="1" x14ac:dyDescent="0.3">
      <c r="A105" s="57" t="s">
        <v>182</v>
      </c>
      <c r="B105" s="58">
        <v>91933</v>
      </c>
      <c r="C105" s="59" t="s">
        <v>54</v>
      </c>
      <c r="D105" s="60" t="s">
        <v>110</v>
      </c>
      <c r="E105" s="60" t="s">
        <v>63</v>
      </c>
      <c r="F105" s="61">
        <f>VLOOKUP(A105,'MEMÓRIA DE CÁLCULO'!$A$9:$J$342,10,FALSE)</f>
        <v>51.5</v>
      </c>
      <c r="G105" s="61">
        <v>16.23</v>
      </c>
      <c r="H105" s="61">
        <f t="shared" si="32"/>
        <v>20.95</v>
      </c>
      <c r="I105" s="61">
        <f t="shared" si="33"/>
        <v>1078.93</v>
      </c>
      <c r="J105" s="152">
        <f>I105/$I$126</f>
        <v>2.49E-3</v>
      </c>
    </row>
    <row r="106" spans="1:10" x14ac:dyDescent="0.3">
      <c r="A106" s="62" t="s">
        <v>183</v>
      </c>
      <c r="B106" s="63"/>
      <c r="C106" s="64"/>
      <c r="D106" s="65" t="s">
        <v>269</v>
      </c>
      <c r="E106" s="65"/>
      <c r="F106" s="66"/>
      <c r="G106" s="66"/>
      <c r="H106" s="66"/>
      <c r="I106" s="66">
        <f>SUBTOTAL(9,I107:I110)</f>
        <v>2252.36</v>
      </c>
      <c r="J106" s="153">
        <f>SUBTOTAL(9,J107:J110)</f>
        <v>5.1999999999999998E-3</v>
      </c>
    </row>
    <row r="107" spans="1:10" ht="41.4" outlineLevel="1" x14ac:dyDescent="0.3">
      <c r="A107" s="57" t="s">
        <v>184</v>
      </c>
      <c r="B107" s="58">
        <v>91854</v>
      </c>
      <c r="C107" s="59" t="s">
        <v>54</v>
      </c>
      <c r="D107" s="60" t="s">
        <v>111</v>
      </c>
      <c r="E107" s="60" t="s">
        <v>63</v>
      </c>
      <c r="F107" s="61">
        <f>VLOOKUP(A107,'MEMÓRIA DE CÁLCULO'!$A$9:$J$342,10,FALSE)</f>
        <v>118.3</v>
      </c>
      <c r="G107" s="61">
        <v>9.1199999999999992</v>
      </c>
      <c r="H107" s="61">
        <f t="shared" ref="H107:H110" si="34">ROUND((G107+G107*$I$2),2)</f>
        <v>11.77</v>
      </c>
      <c r="I107" s="61">
        <f t="shared" ref="I107:I110" si="35">ROUND(F107*H107,2)</f>
        <v>1392.39</v>
      </c>
      <c r="J107" s="152">
        <f>I107/$I$126</f>
        <v>3.2100000000000002E-3</v>
      </c>
    </row>
    <row r="108" spans="1:10" ht="41.4" outlineLevel="1" x14ac:dyDescent="0.3">
      <c r="A108" s="57" t="s">
        <v>185</v>
      </c>
      <c r="B108" s="58">
        <v>91856</v>
      </c>
      <c r="C108" s="59" t="s">
        <v>54</v>
      </c>
      <c r="D108" s="60" t="s">
        <v>112</v>
      </c>
      <c r="E108" s="60" t="s">
        <v>63</v>
      </c>
      <c r="F108" s="61">
        <f>VLOOKUP(A108,'MEMÓRIA DE CÁLCULO'!$A$9:$J$342,10,FALSE)</f>
        <v>16.3</v>
      </c>
      <c r="G108" s="61">
        <v>11.94</v>
      </c>
      <c r="H108" s="61">
        <f t="shared" si="34"/>
        <v>15.41</v>
      </c>
      <c r="I108" s="61">
        <f t="shared" si="35"/>
        <v>251.18</v>
      </c>
      <c r="J108" s="152">
        <f>I108/$I$126</f>
        <v>5.8E-4</v>
      </c>
    </row>
    <row r="109" spans="1:10" ht="27.6" outlineLevel="1" x14ac:dyDescent="0.3">
      <c r="A109" s="57" t="s">
        <v>186</v>
      </c>
      <c r="B109" s="58">
        <v>97667</v>
      </c>
      <c r="C109" s="59" t="s">
        <v>54</v>
      </c>
      <c r="D109" s="60" t="s">
        <v>113</v>
      </c>
      <c r="E109" s="60" t="s">
        <v>63</v>
      </c>
      <c r="F109" s="61">
        <f>VLOOKUP(A109,'MEMÓRIA DE CÁLCULO'!$A$9:$J$342,10,FALSE)</f>
        <v>26.6</v>
      </c>
      <c r="G109" s="61">
        <v>9.17</v>
      </c>
      <c r="H109" s="61">
        <f t="shared" si="34"/>
        <v>11.84</v>
      </c>
      <c r="I109" s="61">
        <f t="shared" si="35"/>
        <v>314.94</v>
      </c>
      <c r="J109" s="152">
        <f>I109/$I$126</f>
        <v>7.2999999999999996E-4</v>
      </c>
    </row>
    <row r="110" spans="1:10" outlineLevel="1" x14ac:dyDescent="0.3">
      <c r="A110" s="57" t="s">
        <v>270</v>
      </c>
      <c r="B110" s="58" t="str">
        <f>CPU!B144</f>
        <v xml:space="preserve"> CSC-015 </v>
      </c>
      <c r="C110" s="59" t="s">
        <v>51</v>
      </c>
      <c r="D110" s="60" t="s">
        <v>272</v>
      </c>
      <c r="E110" s="60" t="s">
        <v>63</v>
      </c>
      <c r="F110" s="61">
        <f>VLOOKUP(A110,'MEMÓRIA DE CÁLCULO'!$A$9:$J$342,10,FALSE)</f>
        <v>7.4</v>
      </c>
      <c r="G110" s="61">
        <v>30.77</v>
      </c>
      <c r="H110" s="61">
        <f t="shared" si="34"/>
        <v>39.71</v>
      </c>
      <c r="I110" s="61">
        <f t="shared" si="35"/>
        <v>293.85000000000002</v>
      </c>
      <c r="J110" s="152">
        <f>I110/$I$126</f>
        <v>6.8000000000000005E-4</v>
      </c>
    </row>
    <row r="111" spans="1:10" x14ac:dyDescent="0.3">
      <c r="A111" s="62" t="s">
        <v>187</v>
      </c>
      <c r="B111" s="63"/>
      <c r="C111" s="64"/>
      <c r="D111" s="65" t="s">
        <v>114</v>
      </c>
      <c r="E111" s="65"/>
      <c r="F111" s="66"/>
      <c r="G111" s="66"/>
      <c r="H111" s="66"/>
      <c r="I111" s="66">
        <f>SUBTOTAL(9,I112)</f>
        <v>2635.78</v>
      </c>
      <c r="J111" s="153">
        <f>SUBTOTAL(9,J112)</f>
        <v>6.0800000000000003E-3</v>
      </c>
    </row>
    <row r="112" spans="1:10" outlineLevel="1" x14ac:dyDescent="0.3">
      <c r="A112" s="57" t="s">
        <v>188</v>
      </c>
      <c r="B112" s="58">
        <v>250732</v>
      </c>
      <c r="C112" s="59" t="s">
        <v>55</v>
      </c>
      <c r="D112" s="60" t="s">
        <v>115</v>
      </c>
      <c r="E112" s="60" t="s">
        <v>41</v>
      </c>
      <c r="F112" s="61">
        <f>VLOOKUP(A112,'MEMÓRIA DE CÁLCULO'!$A$9:$J$342,10,FALSE)</f>
        <v>7</v>
      </c>
      <c r="G112" s="61">
        <v>291.73</v>
      </c>
      <c r="H112" s="61">
        <f>ROUND((G112+G112*$I$2),2)</f>
        <v>376.54</v>
      </c>
      <c r="I112" s="61">
        <f>ROUND(F112*H112,2)</f>
        <v>2635.78</v>
      </c>
      <c r="J112" s="152">
        <f>I112/$I$126</f>
        <v>6.0800000000000003E-3</v>
      </c>
    </row>
    <row r="113" spans="1:10" x14ac:dyDescent="0.3">
      <c r="A113" s="62" t="s">
        <v>241</v>
      </c>
      <c r="B113" s="63"/>
      <c r="C113" s="64"/>
      <c r="D113" s="65" t="s">
        <v>243</v>
      </c>
      <c r="E113" s="65"/>
      <c r="F113" s="66"/>
      <c r="G113" s="66"/>
      <c r="H113" s="66"/>
      <c r="I113" s="66">
        <f>SUBTOTAL(9,I114:I117)</f>
        <v>1398.93</v>
      </c>
      <c r="J113" s="153">
        <f>SUBTOTAL(9,J114:J117)</f>
        <v>3.2200000000000002E-3</v>
      </c>
    </row>
    <row r="114" spans="1:10" ht="27.6" outlineLevel="1" x14ac:dyDescent="0.3">
      <c r="A114" s="57" t="s">
        <v>242</v>
      </c>
      <c r="B114" s="58">
        <v>91941</v>
      </c>
      <c r="C114" s="59" t="s">
        <v>54</v>
      </c>
      <c r="D114" s="60" t="s">
        <v>247</v>
      </c>
      <c r="E114" s="60" t="s">
        <v>41</v>
      </c>
      <c r="F114" s="61">
        <f>VLOOKUP(A114,'MEMÓRIA DE CÁLCULO'!$A$9:$J$342,10,FALSE)</f>
        <v>10</v>
      </c>
      <c r="G114" s="61">
        <v>11.19</v>
      </c>
      <c r="H114" s="61">
        <f t="shared" ref="H114:H117" si="36">ROUND((G114+G114*$I$2),2)</f>
        <v>14.44</v>
      </c>
      <c r="I114" s="61">
        <f t="shared" ref="I114:I117" si="37">ROUND(F114*H114,2)</f>
        <v>144.4</v>
      </c>
      <c r="J114" s="152">
        <f>I114/$I$126</f>
        <v>3.3E-4</v>
      </c>
    </row>
    <row r="115" spans="1:10" ht="27.6" outlineLevel="1" x14ac:dyDescent="0.3">
      <c r="A115" s="57" t="s">
        <v>244</v>
      </c>
      <c r="B115" s="58">
        <v>91940</v>
      </c>
      <c r="C115" s="59" t="s">
        <v>54</v>
      </c>
      <c r="D115" s="60" t="s">
        <v>248</v>
      </c>
      <c r="E115" s="60" t="s">
        <v>41</v>
      </c>
      <c r="F115" s="61">
        <f>VLOOKUP(A115,'MEMÓRIA DE CÁLCULO'!$A$9:$J$342,10,FALSE)</f>
        <v>20</v>
      </c>
      <c r="G115" s="61">
        <v>17</v>
      </c>
      <c r="H115" s="61">
        <f t="shared" si="36"/>
        <v>21.94</v>
      </c>
      <c r="I115" s="61">
        <f t="shared" si="37"/>
        <v>438.8</v>
      </c>
      <c r="J115" s="152">
        <f>I115/$I$126</f>
        <v>1.01E-3</v>
      </c>
    </row>
    <row r="116" spans="1:10" ht="27.6" outlineLevel="1" x14ac:dyDescent="0.3">
      <c r="A116" s="57" t="s">
        <v>245</v>
      </c>
      <c r="B116" s="58">
        <v>91937</v>
      </c>
      <c r="C116" s="59" t="s">
        <v>54</v>
      </c>
      <c r="D116" s="60" t="s">
        <v>249</v>
      </c>
      <c r="E116" s="60" t="s">
        <v>41</v>
      </c>
      <c r="F116" s="61">
        <f>VLOOKUP(A116,'MEMÓRIA DE CÁLCULO'!$A$9:$J$342,10,FALSE)</f>
        <v>33</v>
      </c>
      <c r="G116" s="61">
        <v>15.48</v>
      </c>
      <c r="H116" s="61">
        <f t="shared" si="36"/>
        <v>19.98</v>
      </c>
      <c r="I116" s="61">
        <f t="shared" si="37"/>
        <v>659.34</v>
      </c>
      <c r="J116" s="152">
        <f>I116/$I$126</f>
        <v>1.5200000000000001E-3</v>
      </c>
    </row>
    <row r="117" spans="1:10" outlineLevel="1" x14ac:dyDescent="0.3">
      <c r="A117" s="57" t="s">
        <v>246</v>
      </c>
      <c r="B117" s="58">
        <v>171068</v>
      </c>
      <c r="C117" s="59" t="s">
        <v>55</v>
      </c>
      <c r="D117" s="60" t="s">
        <v>273</v>
      </c>
      <c r="E117" s="60" t="s">
        <v>41</v>
      </c>
      <c r="F117" s="61">
        <f>VLOOKUP(A117,'MEMÓRIA DE CÁLCULO'!$A$9:$J$342,10,FALSE)</f>
        <v>3</v>
      </c>
      <c r="G117" s="61">
        <v>40.39</v>
      </c>
      <c r="H117" s="61">
        <f t="shared" si="36"/>
        <v>52.13</v>
      </c>
      <c r="I117" s="61">
        <f t="shared" si="37"/>
        <v>156.38999999999999</v>
      </c>
      <c r="J117" s="152">
        <f>I117/$I$126</f>
        <v>3.6000000000000002E-4</v>
      </c>
    </row>
    <row r="118" spans="1:10" x14ac:dyDescent="0.3">
      <c r="A118" s="52">
        <v>10</v>
      </c>
      <c r="B118" s="53"/>
      <c r="C118" s="54"/>
      <c r="D118" s="55" t="s">
        <v>116</v>
      </c>
      <c r="E118" s="55"/>
      <c r="F118" s="56"/>
      <c r="G118" s="56"/>
      <c r="H118" s="56"/>
      <c r="I118" s="56">
        <f>SUBTOTAL(9,I119:I122)</f>
        <v>1749.65</v>
      </c>
      <c r="J118" s="151">
        <f>SUBTOTAL(9,J119:J122)</f>
        <v>4.0400000000000002E-3</v>
      </c>
    </row>
    <row r="119" spans="1:10" outlineLevel="1" x14ac:dyDescent="0.3">
      <c r="A119" s="57" t="s">
        <v>207</v>
      </c>
      <c r="B119" s="58">
        <v>201507</v>
      </c>
      <c r="C119" s="59" t="s">
        <v>55</v>
      </c>
      <c r="D119" s="60" t="s">
        <v>262</v>
      </c>
      <c r="E119" s="60" t="s">
        <v>41</v>
      </c>
      <c r="F119" s="61">
        <f>VLOOKUP(A119,'MEMÓRIA DE CÁLCULO'!$A$9:$J$342,10,FALSE)</f>
        <v>1</v>
      </c>
      <c r="G119" s="61">
        <v>240.37</v>
      </c>
      <c r="H119" s="61">
        <f t="shared" ref="H119:H122" si="38">ROUND((G119+G119*$I$2),2)</f>
        <v>310.25</v>
      </c>
      <c r="I119" s="61">
        <f t="shared" ref="I119:I122" si="39">ROUND(F119*H119,2)</f>
        <v>310.25</v>
      </c>
      <c r="J119" s="152">
        <f>I119/$I$126</f>
        <v>7.2000000000000005E-4</v>
      </c>
    </row>
    <row r="120" spans="1:10" outlineLevel="1" x14ac:dyDescent="0.3">
      <c r="A120" s="57" t="s">
        <v>208</v>
      </c>
      <c r="B120" s="58">
        <v>241468</v>
      </c>
      <c r="C120" s="59" t="s">
        <v>55</v>
      </c>
      <c r="D120" s="60" t="s">
        <v>263</v>
      </c>
      <c r="E120" s="60" t="s">
        <v>41</v>
      </c>
      <c r="F120" s="61">
        <f>VLOOKUP(A120,'MEMÓRIA DE CÁLCULO'!$A$9:$J$342,10,FALSE)</f>
        <v>11</v>
      </c>
      <c r="G120" s="61">
        <v>49.54</v>
      </c>
      <c r="H120" s="61">
        <f t="shared" si="38"/>
        <v>63.94</v>
      </c>
      <c r="I120" s="61">
        <f t="shared" si="39"/>
        <v>703.34</v>
      </c>
      <c r="J120" s="152">
        <f>I120/$I$126</f>
        <v>1.6199999999999999E-3</v>
      </c>
    </row>
    <row r="121" spans="1:10" outlineLevel="1" x14ac:dyDescent="0.3">
      <c r="A121" s="57" t="s">
        <v>209</v>
      </c>
      <c r="B121" s="58">
        <v>170081</v>
      </c>
      <c r="C121" s="59" t="s">
        <v>55</v>
      </c>
      <c r="D121" s="60" t="s">
        <v>264</v>
      </c>
      <c r="E121" s="60" t="s">
        <v>40</v>
      </c>
      <c r="F121" s="61">
        <f>VLOOKUP(A121,'MEMÓRIA DE CÁLCULO'!$A$9:$J$342,10,FALSE)</f>
        <v>2</v>
      </c>
      <c r="G121" s="61">
        <v>261.77</v>
      </c>
      <c r="H121" s="61">
        <f t="shared" si="38"/>
        <v>337.87</v>
      </c>
      <c r="I121" s="61">
        <f t="shared" si="39"/>
        <v>675.74</v>
      </c>
      <c r="J121" s="152">
        <f>I121/$I$126</f>
        <v>1.56E-3</v>
      </c>
    </row>
    <row r="122" spans="1:10" ht="27.6" outlineLevel="1" x14ac:dyDescent="0.3">
      <c r="A122" s="57" t="s">
        <v>210</v>
      </c>
      <c r="B122" s="58">
        <v>97599</v>
      </c>
      <c r="C122" s="59" t="s">
        <v>54</v>
      </c>
      <c r="D122" s="60" t="s">
        <v>265</v>
      </c>
      <c r="E122" s="60" t="s">
        <v>41</v>
      </c>
      <c r="F122" s="61">
        <f>VLOOKUP(A122,'MEMÓRIA DE CÁLCULO'!$A$9:$J$342,10,FALSE)</f>
        <v>2</v>
      </c>
      <c r="G122" s="61">
        <v>23.37</v>
      </c>
      <c r="H122" s="61">
        <f t="shared" si="38"/>
        <v>30.16</v>
      </c>
      <c r="I122" s="61">
        <f t="shared" si="39"/>
        <v>60.32</v>
      </c>
      <c r="J122" s="152">
        <f>I122/$I$126</f>
        <v>1.3999999999999999E-4</v>
      </c>
    </row>
    <row r="123" spans="1:10" x14ac:dyDescent="0.3">
      <c r="A123" s="52">
        <v>11</v>
      </c>
      <c r="B123" s="53"/>
      <c r="C123" s="54"/>
      <c r="D123" s="55" t="s">
        <v>117</v>
      </c>
      <c r="E123" s="55"/>
      <c r="F123" s="56"/>
      <c r="G123" s="56"/>
      <c r="H123" s="56"/>
      <c r="I123" s="56">
        <f>SUBTOTAL(9,I124:I125)</f>
        <v>18273.98</v>
      </c>
      <c r="J123" s="151">
        <f>SUBTOTAL(9,J124:J125)</f>
        <v>4.215E-2</v>
      </c>
    </row>
    <row r="124" spans="1:10" outlineLevel="1" x14ac:dyDescent="0.3">
      <c r="A124" s="57" t="s">
        <v>211</v>
      </c>
      <c r="B124" s="58">
        <v>250585</v>
      </c>
      <c r="C124" s="59" t="s">
        <v>55</v>
      </c>
      <c r="D124" s="60" t="s">
        <v>588</v>
      </c>
      <c r="E124" s="60" t="s">
        <v>39</v>
      </c>
      <c r="F124" s="61">
        <f>VLOOKUP(A124,'MEMÓRIA DE CÁLCULO'!$A$9:$J$342,10,FALSE)</f>
        <v>66.290000000000006</v>
      </c>
      <c r="G124" s="61">
        <v>193.91</v>
      </c>
      <c r="H124" s="61">
        <f t="shared" ref="H124:H125" si="40">ROUND((G124+G124*$I$2),2)</f>
        <v>250.28</v>
      </c>
      <c r="I124" s="61">
        <f t="shared" ref="I124:I125" si="41">ROUND(F124*H124,2)</f>
        <v>16591.060000000001</v>
      </c>
      <c r="J124" s="152">
        <f>I124/$I$126</f>
        <v>3.8269999999999998E-2</v>
      </c>
    </row>
    <row r="125" spans="1:10" ht="14.4" outlineLevel="1" thickBot="1" x14ac:dyDescent="0.35">
      <c r="A125" s="57" t="s">
        <v>587</v>
      </c>
      <c r="B125" s="58">
        <v>270220</v>
      </c>
      <c r="C125" s="59" t="s">
        <v>55</v>
      </c>
      <c r="D125" s="60" t="s">
        <v>266</v>
      </c>
      <c r="E125" s="60" t="s">
        <v>39</v>
      </c>
      <c r="F125" s="61">
        <f>VLOOKUP(A125,'MEMÓRIA DE CÁLCULO'!$A$9:$J$342,10,FALSE)</f>
        <v>163.38999999999999</v>
      </c>
      <c r="G125" s="61">
        <v>7.98</v>
      </c>
      <c r="H125" s="61">
        <f t="shared" si="40"/>
        <v>10.3</v>
      </c>
      <c r="I125" s="61">
        <f t="shared" si="41"/>
        <v>1682.92</v>
      </c>
      <c r="J125" s="152">
        <f>I125/$I$126</f>
        <v>3.8800000000000002E-3</v>
      </c>
    </row>
    <row r="126" spans="1:10" ht="14.4" thickBot="1" x14ac:dyDescent="0.35">
      <c r="A126" s="252" t="s">
        <v>44</v>
      </c>
      <c r="B126" s="253"/>
      <c r="C126" s="253"/>
      <c r="D126" s="253"/>
      <c r="E126" s="253"/>
      <c r="F126" s="253"/>
      <c r="G126" s="253"/>
      <c r="H126" s="254"/>
      <c r="I126" s="25">
        <f>SUBTOTAL(9,I9:I125)</f>
        <v>433498.75</v>
      </c>
      <c r="J126" s="193">
        <f>SUBTOTAL(9,J9:J125)</f>
        <v>1</v>
      </c>
    </row>
    <row r="127" spans="1:10" x14ac:dyDescent="0.3">
      <c r="A127" s="255"/>
      <c r="B127" s="256"/>
      <c r="C127" s="256"/>
      <c r="D127" s="256"/>
      <c r="E127" s="256"/>
      <c r="F127" s="256"/>
      <c r="G127" s="256"/>
      <c r="H127" s="256"/>
      <c r="I127" s="256"/>
      <c r="J127" s="257"/>
    </row>
    <row r="128" spans="1:10" x14ac:dyDescent="0.3">
      <c r="A128" s="246"/>
      <c r="B128" s="247"/>
      <c r="C128" s="247"/>
      <c r="D128" s="247"/>
      <c r="E128" s="247"/>
      <c r="F128" s="247"/>
      <c r="G128" s="247"/>
      <c r="H128" s="247"/>
      <c r="I128" s="247"/>
      <c r="J128" s="248"/>
    </row>
    <row r="129" spans="1:10" x14ac:dyDescent="0.3">
      <c r="A129" s="246" t="s">
        <v>189</v>
      </c>
      <c r="B129" s="247"/>
      <c r="C129" s="247"/>
      <c r="D129" s="247"/>
      <c r="E129" s="247"/>
      <c r="F129" s="247"/>
      <c r="G129" s="247"/>
      <c r="H129" s="247"/>
      <c r="I129" s="247"/>
      <c r="J129" s="248"/>
    </row>
    <row r="130" spans="1:10" x14ac:dyDescent="0.3">
      <c r="A130" s="246" t="s">
        <v>618</v>
      </c>
      <c r="B130" s="247"/>
      <c r="C130" s="247"/>
      <c r="D130" s="247"/>
      <c r="E130" s="247"/>
      <c r="F130" s="247"/>
      <c r="G130" s="247"/>
      <c r="H130" s="247"/>
      <c r="I130" s="247"/>
      <c r="J130" s="248"/>
    </row>
    <row r="131" spans="1:10" x14ac:dyDescent="0.3">
      <c r="A131" s="259" t="s">
        <v>620</v>
      </c>
      <c r="B131" s="259"/>
      <c r="C131" s="259"/>
      <c r="D131" s="259"/>
      <c r="E131" s="259"/>
      <c r="F131" s="259"/>
      <c r="G131" s="259"/>
      <c r="H131" s="259"/>
      <c r="I131" s="259"/>
      <c r="J131" s="259"/>
    </row>
    <row r="132" spans="1:10" x14ac:dyDescent="0.3">
      <c r="A132" s="246" t="s">
        <v>619</v>
      </c>
      <c r="B132" s="247"/>
      <c r="C132" s="247"/>
      <c r="D132" s="247"/>
      <c r="E132" s="247"/>
      <c r="F132" s="247"/>
      <c r="G132" s="247"/>
      <c r="H132" s="247"/>
      <c r="I132" s="247"/>
      <c r="J132" s="248"/>
    </row>
    <row r="133" spans="1:10" x14ac:dyDescent="0.3">
      <c r="A133" s="246"/>
      <c r="B133" s="258"/>
      <c r="C133" s="258"/>
      <c r="D133" s="258"/>
      <c r="E133" s="258"/>
      <c r="F133" s="258"/>
      <c r="G133" s="258"/>
      <c r="H133" s="258"/>
      <c r="I133" s="258"/>
      <c r="J133" s="248"/>
    </row>
  </sheetData>
  <mergeCells count="25">
    <mergeCell ref="A133:J133"/>
    <mergeCell ref="A131:J131"/>
    <mergeCell ref="A1:A6"/>
    <mergeCell ref="B1:F1"/>
    <mergeCell ref="G1:H1"/>
    <mergeCell ref="I1:J1"/>
    <mergeCell ref="B2:F2"/>
    <mergeCell ref="G2:H2"/>
    <mergeCell ref="I2:J3"/>
    <mergeCell ref="B3:F3"/>
    <mergeCell ref="G3:H3"/>
    <mergeCell ref="B4:F4"/>
    <mergeCell ref="G4:H4"/>
    <mergeCell ref="I4:J4"/>
    <mergeCell ref="B5:F6"/>
    <mergeCell ref="G5:H5"/>
    <mergeCell ref="I5:J6"/>
    <mergeCell ref="G6:H6"/>
    <mergeCell ref="A132:J132"/>
    <mergeCell ref="A7:J7"/>
    <mergeCell ref="A126:H126"/>
    <mergeCell ref="A127:J127"/>
    <mergeCell ref="A128:J128"/>
    <mergeCell ref="A129:J129"/>
    <mergeCell ref="A130:J130"/>
  </mergeCells>
  <phoneticPr fontId="5" type="noConversion"/>
  <conditionalFormatting sqref="F10 F48:F49 F42 F44:F46 F92:F94 F12 F17:F18 F14:F15">
    <cfRule type="cellIs" dxfId="40" priority="45" operator="equal">
      <formula>0</formula>
    </cfRule>
  </conditionalFormatting>
  <conditionalFormatting sqref="F34:F37 F28 F25 F23">
    <cfRule type="cellIs" dxfId="39" priority="43" operator="equal">
      <formula>0</formula>
    </cfRule>
  </conditionalFormatting>
  <conditionalFormatting sqref="F40">
    <cfRule type="cellIs" dxfId="38" priority="42" operator="equal">
      <formula>0</formula>
    </cfRule>
  </conditionalFormatting>
  <conditionalFormatting sqref="F79:F83 F76:F77 F71:F74 F52:F69">
    <cfRule type="cellIs" dxfId="37" priority="41" operator="equal">
      <formula>0</formula>
    </cfRule>
  </conditionalFormatting>
  <conditionalFormatting sqref="F125 F119 F107:F108 F103:F105 F100:F101 F96:F98 F89 F121:F122 F110">
    <cfRule type="cellIs" dxfId="36" priority="40" operator="equal">
      <formula>0</formula>
    </cfRule>
  </conditionalFormatting>
  <conditionalFormatting sqref="F30:F31">
    <cfRule type="cellIs" dxfId="35" priority="37" operator="equal">
      <formula>0</formula>
    </cfRule>
  </conditionalFormatting>
  <conditionalFormatting sqref="F120">
    <cfRule type="cellIs" dxfId="34" priority="36" operator="equal">
      <formula>0</formula>
    </cfRule>
  </conditionalFormatting>
  <conditionalFormatting sqref="F47:F48">
    <cfRule type="cellIs" dxfId="33" priority="35" operator="equal">
      <formula>0</formula>
    </cfRule>
  </conditionalFormatting>
  <conditionalFormatting sqref="F41:F42">
    <cfRule type="cellIs" dxfId="32" priority="33" operator="equal">
      <formula>0</formula>
    </cfRule>
  </conditionalFormatting>
  <conditionalFormatting sqref="F50">
    <cfRule type="cellIs" dxfId="31" priority="32" operator="equal">
      <formula>0</formula>
    </cfRule>
  </conditionalFormatting>
  <conditionalFormatting sqref="F43">
    <cfRule type="cellIs" dxfId="30" priority="31" operator="equal">
      <formula>0</formula>
    </cfRule>
  </conditionalFormatting>
  <conditionalFormatting sqref="F43">
    <cfRule type="cellIs" dxfId="29" priority="30" operator="equal">
      <formula>0</formula>
    </cfRule>
  </conditionalFormatting>
  <conditionalFormatting sqref="F112">
    <cfRule type="cellIs" dxfId="28" priority="29" operator="equal">
      <formula>0</formula>
    </cfRule>
  </conditionalFormatting>
  <conditionalFormatting sqref="F91">
    <cfRule type="cellIs" dxfId="27" priority="17" operator="equal">
      <formula>0</formula>
    </cfRule>
  </conditionalFormatting>
  <conditionalFormatting sqref="F90">
    <cfRule type="cellIs" dxfId="26" priority="16" operator="equal">
      <formula>0</formula>
    </cfRule>
  </conditionalFormatting>
  <conditionalFormatting sqref="F109">
    <cfRule type="cellIs" dxfId="25" priority="15" operator="equal">
      <formula>0</formula>
    </cfRule>
  </conditionalFormatting>
  <conditionalFormatting sqref="F16">
    <cfRule type="cellIs" dxfId="24" priority="14" operator="equal">
      <formula>0</formula>
    </cfRule>
  </conditionalFormatting>
  <conditionalFormatting sqref="F13">
    <cfRule type="cellIs" dxfId="23" priority="12" operator="equal">
      <formula>0</formula>
    </cfRule>
  </conditionalFormatting>
  <conditionalFormatting sqref="F27">
    <cfRule type="cellIs" dxfId="22" priority="11" operator="equal">
      <formula>0</formula>
    </cfRule>
  </conditionalFormatting>
  <conditionalFormatting sqref="F32">
    <cfRule type="cellIs" dxfId="21" priority="10" operator="equal">
      <formula>0</formula>
    </cfRule>
  </conditionalFormatting>
  <conditionalFormatting sqref="F20">
    <cfRule type="cellIs" dxfId="20" priority="9" operator="equal">
      <formula>0</formula>
    </cfRule>
  </conditionalFormatting>
  <conditionalFormatting sqref="F85:F86">
    <cfRule type="cellIs" dxfId="19" priority="8" operator="equal">
      <formula>0</formula>
    </cfRule>
  </conditionalFormatting>
  <conditionalFormatting sqref="F21">
    <cfRule type="cellIs" dxfId="18" priority="7" operator="equal">
      <formula>0</formula>
    </cfRule>
  </conditionalFormatting>
  <conditionalFormatting sqref="F116">
    <cfRule type="cellIs" dxfId="17" priority="6" operator="equal">
      <formula>0</formula>
    </cfRule>
  </conditionalFormatting>
  <conditionalFormatting sqref="F115">
    <cfRule type="cellIs" dxfId="16" priority="5" operator="equal">
      <formula>0</formula>
    </cfRule>
  </conditionalFormatting>
  <conditionalFormatting sqref="F114">
    <cfRule type="cellIs" dxfId="15" priority="4" operator="equal">
      <formula>0</formula>
    </cfRule>
  </conditionalFormatting>
  <conditionalFormatting sqref="F117">
    <cfRule type="cellIs" dxfId="14" priority="3" operator="equal">
      <formula>0</formula>
    </cfRule>
  </conditionalFormatting>
  <conditionalFormatting sqref="F124">
    <cfRule type="cellIs" dxfId="13" priority="2" operator="equal">
      <formula>0</formula>
    </cfRule>
  </conditionalFormatting>
  <conditionalFormatting sqref="F22">
    <cfRule type="cellIs" dxfId="12" priority="1" operator="equal">
      <formula>0</formula>
    </cfRule>
  </conditionalFormatting>
  <printOptions horizontalCentered="1"/>
  <pageMargins left="0.51181102362204722" right="0.51181102362204722" top="0.78740157480314965" bottom="0.98425196850393704" header="0.31496062992125984" footer="0.19685039370078741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C283-CD45-4E19-A5FB-5C9D3A036231}">
  <sheetPr>
    <pageSetUpPr fitToPage="1"/>
  </sheetPr>
  <dimension ref="A1:J349"/>
  <sheetViews>
    <sheetView view="pageBreakPreview" topLeftCell="A327" zoomScaleNormal="100" zoomScaleSheetLayoutView="100" workbookViewId="0">
      <selection activeCell="A345" sqref="A345:J345"/>
    </sheetView>
  </sheetViews>
  <sheetFormatPr defaultColWidth="9.109375" defaultRowHeight="13.8" outlineLevelRow="1" x14ac:dyDescent="0.3"/>
  <cols>
    <col min="1" max="1" width="9.109375" style="21"/>
    <col min="2" max="2" width="57.88671875" style="21" customWidth="1"/>
    <col min="3" max="3" width="9.109375" style="21"/>
    <col min="4" max="4" width="11.109375" style="21" customWidth="1"/>
    <col min="5" max="7" width="9.109375" style="21" customWidth="1"/>
    <col min="8" max="8" width="12.5546875" style="21" customWidth="1"/>
    <col min="9" max="9" width="9.109375" style="21"/>
    <col min="10" max="10" width="9.6640625" style="21" customWidth="1"/>
    <col min="11" max="16384" width="9.109375" style="21"/>
  </cols>
  <sheetData>
    <row r="1" spans="1:10" x14ac:dyDescent="0.3">
      <c r="A1" s="303"/>
      <c r="B1" s="303" t="str">
        <f>SINTÉTICO!B1</f>
        <v>Prefeitura Municipal de Santarém</v>
      </c>
      <c r="C1" s="304"/>
      <c r="D1" s="304"/>
      <c r="E1" s="304"/>
      <c r="F1" s="305"/>
      <c r="G1" s="306" t="str">
        <f>SINTÉTICO!G1</f>
        <v>Banco de Dados:</v>
      </c>
      <c r="H1" s="306"/>
      <c r="I1" s="266" t="str">
        <f>SINTÉTICO!I1</f>
        <v>BDI</v>
      </c>
      <c r="J1" s="267"/>
    </row>
    <row r="2" spans="1:10" x14ac:dyDescent="0.3">
      <c r="A2" s="288"/>
      <c r="B2" s="288" t="str">
        <f>SINTÉTICO!B2</f>
        <v>Secretaria Municipal de Infraestrutura</v>
      </c>
      <c r="C2" s="289"/>
      <c r="D2" s="289"/>
      <c r="E2" s="289"/>
      <c r="F2" s="290"/>
      <c r="G2" s="291" t="str">
        <f>SINTÉTICO!G2</f>
        <v>SINAPI 06/2024 Desonerado</v>
      </c>
      <c r="H2" s="291"/>
      <c r="I2" s="271">
        <f>SINTÉTICO!I2</f>
        <v>0.29070000000000001</v>
      </c>
      <c r="J2" s="272"/>
    </row>
    <row r="3" spans="1:10" x14ac:dyDescent="0.3">
      <c r="A3" s="288"/>
      <c r="B3" s="288" t="str">
        <f>SINTÉTICO!B3</f>
        <v>CNPJ: 05.182.233/0007-61</v>
      </c>
      <c r="C3" s="289"/>
      <c r="D3" s="289"/>
      <c r="E3" s="289"/>
      <c r="F3" s="290"/>
      <c r="G3" s="291" t="str">
        <f>SINTÉTICO!G3</f>
        <v>SEDOP 05/2024</v>
      </c>
      <c r="H3" s="291"/>
      <c r="I3" s="271"/>
      <c r="J3" s="272"/>
    </row>
    <row r="4" spans="1:10" x14ac:dyDescent="0.3">
      <c r="A4" s="288"/>
      <c r="B4" s="288" t="str">
        <f>SINTÉTICO!B4</f>
        <v xml:space="preserve">Av. Barão do Rio Branco, S/N - Bairro: Aeroporto Velho - CEP: 68.005-310 - Santarém/PA </v>
      </c>
      <c r="C4" s="289"/>
      <c r="D4" s="289"/>
      <c r="E4" s="289"/>
      <c r="F4" s="290"/>
      <c r="G4" s="273"/>
      <c r="H4" s="273"/>
      <c r="I4" s="274" t="str">
        <f>SINTÉTICO!I4</f>
        <v>Encargos Sociais</v>
      </c>
      <c r="J4" s="275"/>
    </row>
    <row r="5" spans="1:10" x14ac:dyDescent="0.3">
      <c r="A5" s="288"/>
      <c r="B5" s="295" t="str">
        <f>SINTÉTICO!B5</f>
        <v>OBJETO: CONSTRUÇÃO DE UNIDADE BÁSICA DE SAÚDE (UBS) PIRACAOERA - MODELO MUNICIPAL</v>
      </c>
      <c r="C5" s="296"/>
      <c r="D5" s="296"/>
      <c r="E5" s="296"/>
      <c r="F5" s="297"/>
      <c r="G5" s="289"/>
      <c r="H5" s="289"/>
      <c r="I5" s="241" t="str">
        <f>SINTÉTICO!I5</f>
        <v>DESONERADO</v>
      </c>
      <c r="J5" s="242"/>
    </row>
    <row r="6" spans="1:10" ht="14.4" thickBot="1" x14ac:dyDescent="0.35">
      <c r="A6" s="243"/>
      <c r="B6" s="298"/>
      <c r="C6" s="299"/>
      <c r="D6" s="299"/>
      <c r="E6" s="299"/>
      <c r="F6" s="300"/>
      <c r="G6" s="245"/>
      <c r="H6" s="245"/>
      <c r="I6" s="243"/>
      <c r="J6" s="244"/>
    </row>
    <row r="7" spans="1:10" ht="14.4" thickBot="1" x14ac:dyDescent="0.35">
      <c r="A7" s="292" t="s">
        <v>20</v>
      </c>
      <c r="B7" s="293"/>
      <c r="C7" s="293"/>
      <c r="D7" s="293"/>
      <c r="E7" s="293"/>
      <c r="F7" s="293"/>
      <c r="G7" s="293"/>
      <c r="H7" s="293"/>
      <c r="I7" s="293"/>
      <c r="J7" s="294"/>
    </row>
    <row r="8" spans="1:10" ht="14.4" thickBot="1" x14ac:dyDescent="0.35">
      <c r="A8" s="1"/>
      <c r="B8" s="19"/>
      <c r="C8" s="19"/>
      <c r="D8" s="19"/>
      <c r="E8" s="19"/>
      <c r="F8" s="19"/>
      <c r="G8" s="19"/>
      <c r="H8" s="19"/>
      <c r="I8" s="19"/>
      <c r="J8" s="2"/>
    </row>
    <row r="9" spans="1:10" x14ac:dyDescent="0.3">
      <c r="A9" s="15">
        <v>1</v>
      </c>
      <c r="B9" s="16" t="str">
        <f>VLOOKUP(A9,SINTÉTICO!$A$9:$J$125,4,FALSE)</f>
        <v>ADMINISTRAÇÃO LOCAL DA OBRA</v>
      </c>
      <c r="C9" s="17"/>
      <c r="D9" s="17"/>
      <c r="E9" s="17"/>
      <c r="F9" s="17"/>
      <c r="G9" s="17"/>
      <c r="H9" s="17"/>
      <c r="I9" s="17"/>
      <c r="J9" s="18"/>
    </row>
    <row r="10" spans="1:10" ht="27.6" outlineLevel="1" x14ac:dyDescent="0.3">
      <c r="A10" s="3" t="s">
        <v>22</v>
      </c>
      <c r="B10" s="4" t="s">
        <v>23</v>
      </c>
      <c r="C10" s="4" t="s">
        <v>24</v>
      </c>
      <c r="D10" s="4" t="s">
        <v>212</v>
      </c>
      <c r="E10" s="4"/>
      <c r="F10" s="4"/>
      <c r="G10" s="4"/>
      <c r="H10" s="4"/>
      <c r="I10" s="4"/>
      <c r="J10" s="5" t="s">
        <v>25</v>
      </c>
    </row>
    <row r="11" spans="1:10" outlineLevel="1" x14ac:dyDescent="0.3">
      <c r="A11" s="6" t="s">
        <v>21</v>
      </c>
      <c r="B11" s="7" t="str">
        <f>VLOOKUP(A11,SINTÉTICO!$A$9:$J$125,4,FALSE)</f>
        <v>ADMINISTRAÇÃO LOCAL DA OBRA</v>
      </c>
      <c r="C11" s="8" t="str">
        <f>VLOOKUP(A11,SINTÉTICO!$A$9:$J$125,5,FALSE)</f>
        <v>%</v>
      </c>
      <c r="D11" s="9">
        <v>1</v>
      </c>
      <c r="E11" s="9"/>
      <c r="F11" s="9"/>
      <c r="G11" s="9"/>
      <c r="H11" s="9"/>
      <c r="I11" s="9"/>
      <c r="J11" s="10">
        <f>D11</f>
        <v>1</v>
      </c>
    </row>
    <row r="12" spans="1:10" ht="14.4" thickBot="1" x14ac:dyDescent="0.35">
      <c r="A12" s="1"/>
      <c r="B12" s="20"/>
      <c r="C12" s="19"/>
      <c r="D12" s="19"/>
      <c r="E12" s="19"/>
      <c r="F12" s="19"/>
      <c r="G12" s="19"/>
      <c r="H12" s="19"/>
      <c r="I12" s="19"/>
      <c r="J12" s="2"/>
    </row>
    <row r="13" spans="1:10" x14ac:dyDescent="0.3">
      <c r="A13" s="15">
        <v>2</v>
      </c>
      <c r="B13" s="16" t="str">
        <f>VLOOKUP(A13,SINTÉTICO!$A$9:$J$125,4,FALSE)</f>
        <v>SERVIÇOS PRELIMINARES</v>
      </c>
      <c r="C13" s="17"/>
      <c r="D13" s="17"/>
      <c r="E13" s="17"/>
      <c r="F13" s="17"/>
      <c r="G13" s="17"/>
      <c r="H13" s="17"/>
      <c r="I13" s="17"/>
      <c r="J13" s="18"/>
    </row>
    <row r="14" spans="1:10" ht="27.6" outlineLevel="1" x14ac:dyDescent="0.3">
      <c r="A14" s="3" t="s">
        <v>22</v>
      </c>
      <c r="B14" s="4" t="s">
        <v>23</v>
      </c>
      <c r="C14" s="4" t="s">
        <v>24</v>
      </c>
      <c r="D14" s="4" t="s">
        <v>26</v>
      </c>
      <c r="E14" s="4" t="s">
        <v>27</v>
      </c>
      <c r="F14" s="4" t="s">
        <v>43</v>
      </c>
      <c r="G14" s="4" t="s">
        <v>42</v>
      </c>
      <c r="H14" s="4" t="s">
        <v>28</v>
      </c>
      <c r="I14" s="4"/>
      <c r="J14" s="5" t="s">
        <v>25</v>
      </c>
    </row>
    <row r="15" spans="1:10" outlineLevel="1" x14ac:dyDescent="0.3">
      <c r="A15" s="6" t="s">
        <v>29</v>
      </c>
      <c r="B15" s="7" t="str">
        <f>VLOOKUP(A15,SINTÉTICO!$A$9:$J$125,4,FALSE)</f>
        <v>Placa de obra em lona com plotagem de gráfica</v>
      </c>
      <c r="C15" s="8" t="str">
        <f>VLOOKUP(A15,SINTÉTICO!$A$9:$J$125,5,FALSE)</f>
        <v>m²</v>
      </c>
      <c r="D15" s="9">
        <v>3</v>
      </c>
      <c r="E15" s="9">
        <v>2</v>
      </c>
      <c r="F15" s="9">
        <v>0</v>
      </c>
      <c r="G15" s="9">
        <v>0</v>
      </c>
      <c r="H15" s="9">
        <f>D15*E15</f>
        <v>6</v>
      </c>
      <c r="I15" s="9"/>
      <c r="J15" s="10">
        <f>H15</f>
        <v>6</v>
      </c>
    </row>
    <row r="16" spans="1:10" ht="41.4" outlineLevel="1" x14ac:dyDescent="0.3">
      <c r="A16" s="6" t="s">
        <v>30</v>
      </c>
      <c r="B16" s="7" t="str">
        <f>VLOOKUP(A16,SINTÉTICO!$A$9:$J$125,4,FALSE)</f>
        <v>LIMPEZA MECANIZADA DE CAMADA VEGETAL, VEGETAÇÃO E PEQUENAS ÁRVORES (DIÂMETRO DE TRONCO MENOR QUE 0,20 M), COM TRATOR DE ESTEIRAS.AF_05/2018</v>
      </c>
      <c r="C16" s="8" t="str">
        <f>VLOOKUP(A16,SINTÉTICO!$A$9:$J$125,5,FALSE)</f>
        <v>m²</v>
      </c>
      <c r="D16" s="9">
        <v>0</v>
      </c>
      <c r="E16" s="9">
        <v>0</v>
      </c>
      <c r="F16" s="9">
        <v>0</v>
      </c>
      <c r="G16" s="9">
        <v>0</v>
      </c>
      <c r="H16" s="9">
        <v>163.38999999999999</v>
      </c>
      <c r="I16" s="9"/>
      <c r="J16" s="10">
        <f>H16</f>
        <v>163.38999999999999</v>
      </c>
    </row>
    <row r="17" spans="1:10" ht="41.4" outlineLevel="1" x14ac:dyDescent="0.3">
      <c r="A17" s="6" t="s">
        <v>31</v>
      </c>
      <c r="B17" s="7" t="str">
        <f>VLOOKUP(A17,SINTÉTICO!$A$9:$J$125,4,FALSE)</f>
        <v>ENTRADA DE ENERGIA ELÉTRICA, AÉREA, BIFÁSICA, COM CAIXA DE EMBUTIR, CABO DE 10 MM2 E DISJUNTOR DIN 50A (NÃO INCLUSO O POSTE DE CONCRETO). AF_07/2020_P</v>
      </c>
      <c r="C17" s="8" t="str">
        <f>VLOOKUP(A17,SINTÉTICO!$A$9:$J$125,5,FALSE)</f>
        <v>UN</v>
      </c>
      <c r="D17" s="9">
        <v>0</v>
      </c>
      <c r="E17" s="9">
        <v>0</v>
      </c>
      <c r="F17" s="9">
        <v>0</v>
      </c>
      <c r="G17" s="9">
        <v>1</v>
      </c>
      <c r="H17" s="9">
        <v>0</v>
      </c>
      <c r="I17" s="9"/>
      <c r="J17" s="10">
        <f>G17</f>
        <v>1</v>
      </c>
    </row>
    <row r="18" spans="1:10" ht="27.6" outlineLevel="1" x14ac:dyDescent="0.3">
      <c r="A18" s="6" t="s">
        <v>31</v>
      </c>
      <c r="B18" s="7" t="s">
        <v>607</v>
      </c>
      <c r="C18" s="8" t="s">
        <v>41</v>
      </c>
      <c r="D18" s="9"/>
      <c r="E18" s="9"/>
      <c r="F18" s="9"/>
      <c r="G18" s="9">
        <v>4</v>
      </c>
      <c r="H18" s="9"/>
      <c r="I18" s="9"/>
      <c r="J18" s="10">
        <f>G18</f>
        <v>4</v>
      </c>
    </row>
    <row r="19" spans="1:10" ht="27.6" outlineLevel="1" x14ac:dyDescent="0.3">
      <c r="A19" s="6" t="s">
        <v>33</v>
      </c>
      <c r="B19" s="7" t="str">
        <f>VLOOKUP(A19,SINTÉTICO!$A$9:$J$125,4,FALSE)</f>
        <v>Mobilização e Desmobilização de Pessoal e Equipamentos Comunidades de Rios</v>
      </c>
      <c r="C19" s="8" t="str">
        <f>VLOOKUP(A19,SINTÉTICO!$A$9:$J$125,5,FALSE)</f>
        <v>UN</v>
      </c>
      <c r="D19" s="9">
        <v>2</v>
      </c>
      <c r="E19" s="9">
        <v>2</v>
      </c>
      <c r="F19" s="9">
        <v>0</v>
      </c>
      <c r="G19" s="9">
        <v>0</v>
      </c>
      <c r="H19" s="9">
        <f>D19*E19</f>
        <v>4</v>
      </c>
      <c r="I19" s="9"/>
      <c r="J19" s="10">
        <f>H19</f>
        <v>4</v>
      </c>
    </row>
    <row r="20" spans="1:10" outlineLevel="1" x14ac:dyDescent="0.3">
      <c r="A20" s="6" t="s">
        <v>34</v>
      </c>
      <c r="B20" s="7" t="str">
        <f>VLOOKUP(A20,SINTÉTICO!$A$9:$J$125,4,FALSE)</f>
        <v>Locação da obra a trena</v>
      </c>
      <c r="C20" s="8" t="str">
        <f>VLOOKUP(A20,SINTÉTICO!$A$9:$J$125,5,FALSE)</f>
        <v>m²</v>
      </c>
      <c r="D20" s="9">
        <v>0</v>
      </c>
      <c r="E20" s="9">
        <v>0</v>
      </c>
      <c r="F20" s="9">
        <v>0</v>
      </c>
      <c r="G20" s="9">
        <v>0</v>
      </c>
      <c r="H20" s="9">
        <v>163.38999999999999</v>
      </c>
      <c r="I20" s="9"/>
      <c r="J20" s="10">
        <f>H20</f>
        <v>163.38999999999999</v>
      </c>
    </row>
    <row r="21" spans="1:10" outlineLevel="1" x14ac:dyDescent="0.3">
      <c r="A21" s="6" t="s">
        <v>35</v>
      </c>
      <c r="B21" s="7" t="str">
        <f>VLOOKUP(A21,SINTÉTICO!$A$9:$J$125,4,FALSE)</f>
        <v>Tapume c/ chapa de madeirit e=10mm (h=2.20m)</v>
      </c>
      <c r="C21" s="8" t="str">
        <f>VLOOKUP(A21,SINTÉTICO!$A$9:$J$125,5,FALSE)</f>
        <v>m²</v>
      </c>
      <c r="D21" s="9">
        <v>11.35</v>
      </c>
      <c r="E21" s="9">
        <v>0</v>
      </c>
      <c r="F21" s="9">
        <v>2.2000000000000002</v>
      </c>
      <c r="G21" s="9">
        <v>0</v>
      </c>
      <c r="H21" s="9">
        <f>D21*F21</f>
        <v>24.97</v>
      </c>
      <c r="I21" s="9"/>
      <c r="J21" s="10">
        <f>H21</f>
        <v>24.97</v>
      </c>
    </row>
    <row r="22" spans="1:10" ht="14.4" thickBot="1" x14ac:dyDescent="0.35">
      <c r="A22" s="11"/>
      <c r="B22" s="12"/>
      <c r="C22" s="13"/>
      <c r="D22" s="13"/>
      <c r="E22" s="13"/>
      <c r="F22" s="13"/>
      <c r="G22" s="13"/>
      <c r="H22" s="13"/>
      <c r="I22" s="13"/>
      <c r="J22" s="14"/>
    </row>
    <row r="23" spans="1:10" x14ac:dyDescent="0.3">
      <c r="A23" s="15">
        <v>3</v>
      </c>
      <c r="B23" s="16" t="str">
        <f>VLOOKUP(A23,SINTÉTICO!$A$9:$J$125,4,FALSE)</f>
        <v>FUNDAÇÃO E ESTRUTURA</v>
      </c>
      <c r="C23" s="17"/>
      <c r="D23" s="17"/>
      <c r="E23" s="17"/>
      <c r="F23" s="17"/>
      <c r="G23" s="17"/>
      <c r="H23" s="17"/>
      <c r="I23" s="17"/>
      <c r="J23" s="18"/>
    </row>
    <row r="24" spans="1:10" s="30" customFormat="1" ht="27.6" x14ac:dyDescent="0.3">
      <c r="A24" s="31" t="s">
        <v>22</v>
      </c>
      <c r="B24" s="32" t="s">
        <v>23</v>
      </c>
      <c r="C24" s="32" t="s">
        <v>24</v>
      </c>
      <c r="D24" s="32" t="s">
        <v>312</v>
      </c>
      <c r="E24" s="32"/>
      <c r="F24" s="32"/>
      <c r="G24" s="32"/>
      <c r="H24" s="32"/>
      <c r="I24" s="32"/>
      <c r="J24" s="33" t="s">
        <v>25</v>
      </c>
    </row>
    <row r="25" spans="1:10" x14ac:dyDescent="0.3">
      <c r="A25" s="6" t="s">
        <v>123</v>
      </c>
      <c r="B25" s="7" t="str">
        <f>VLOOKUP(A25,SINTÉTICO!$A$9:$J$125,4,FALSE)</f>
        <v>PILAR QUADRADO 15 X 15 CM</v>
      </c>
      <c r="C25" s="8" t="str">
        <f>VLOOKUP(A25,SINTÉTICO!$A$9:$J$125,5,FALSE)</f>
        <v>M</v>
      </c>
      <c r="D25" s="9"/>
      <c r="E25" s="9"/>
      <c r="F25" s="9"/>
      <c r="G25" s="9"/>
      <c r="H25" s="9"/>
      <c r="I25" s="9"/>
      <c r="J25" s="10">
        <f>F40</f>
        <v>303.32</v>
      </c>
    </row>
    <row r="26" spans="1:10" ht="27.6" x14ac:dyDescent="0.3">
      <c r="A26" s="37"/>
      <c r="B26" s="70"/>
      <c r="C26" s="39"/>
      <c r="D26" s="40" t="s">
        <v>300</v>
      </c>
      <c r="E26" s="40" t="s">
        <v>42</v>
      </c>
      <c r="F26" s="71" t="s">
        <v>302</v>
      </c>
      <c r="G26" s="40"/>
      <c r="H26" s="40"/>
      <c r="I26" s="40"/>
      <c r="J26" s="41"/>
    </row>
    <row r="27" spans="1:10" x14ac:dyDescent="0.3">
      <c r="A27" s="37"/>
      <c r="B27" s="42" t="s">
        <v>222</v>
      </c>
      <c r="C27" s="39"/>
      <c r="D27" s="40">
        <v>1.1499999999999999</v>
      </c>
      <c r="E27" s="40">
        <v>4</v>
      </c>
      <c r="F27" s="40">
        <f>D27*E27</f>
        <v>4.5999999999999996</v>
      </c>
      <c r="G27" s="40"/>
      <c r="H27" s="40"/>
      <c r="I27" s="40"/>
      <c r="J27" s="41"/>
    </row>
    <row r="28" spans="1:10" x14ac:dyDescent="0.3">
      <c r="A28" s="37"/>
      <c r="B28" s="42" t="s">
        <v>223</v>
      </c>
      <c r="C28" s="39"/>
      <c r="D28" s="40">
        <v>3.1</v>
      </c>
      <c r="E28" s="40">
        <v>2</v>
      </c>
      <c r="F28" s="40">
        <f t="shared" ref="F28:F39" si="0">D28*E28</f>
        <v>6.2</v>
      </c>
      <c r="G28" s="40"/>
      <c r="H28" s="40"/>
      <c r="I28" s="40"/>
      <c r="J28" s="41"/>
    </row>
    <row r="29" spans="1:10" x14ac:dyDescent="0.3">
      <c r="A29" s="37"/>
      <c r="B29" s="42" t="s">
        <v>224</v>
      </c>
      <c r="C29" s="39"/>
      <c r="D29" s="40">
        <v>4.8</v>
      </c>
      <c r="E29" s="40">
        <v>2</v>
      </c>
      <c r="F29" s="40">
        <f t="shared" si="0"/>
        <v>9.6</v>
      </c>
      <c r="G29" s="40"/>
      <c r="H29" s="40"/>
      <c r="I29" s="40"/>
      <c r="J29" s="41"/>
    </row>
    <row r="30" spans="1:10" x14ac:dyDescent="0.3">
      <c r="A30" s="37"/>
      <c r="B30" s="42" t="s">
        <v>303</v>
      </c>
      <c r="C30" s="39"/>
      <c r="D30" s="40">
        <v>5.0999999999999996</v>
      </c>
      <c r="E30" s="40">
        <v>19</v>
      </c>
      <c r="F30" s="40">
        <f t="shared" si="0"/>
        <v>96.9</v>
      </c>
      <c r="G30" s="40"/>
      <c r="H30" s="40"/>
      <c r="I30" s="40"/>
      <c r="J30" s="41"/>
    </row>
    <row r="31" spans="1:10" x14ac:dyDescent="0.3">
      <c r="A31" s="37"/>
      <c r="B31" s="42" t="s">
        <v>304</v>
      </c>
      <c r="C31" s="39"/>
      <c r="D31" s="40">
        <v>5.25</v>
      </c>
      <c r="E31" s="40">
        <v>1</v>
      </c>
      <c r="F31" s="40">
        <f t="shared" si="0"/>
        <v>5.25</v>
      </c>
      <c r="G31" s="40"/>
      <c r="H31" s="40"/>
      <c r="I31" s="40"/>
      <c r="J31" s="150"/>
    </row>
    <row r="32" spans="1:10" x14ac:dyDescent="0.3">
      <c r="A32" s="37"/>
      <c r="B32" s="42" t="s">
        <v>305</v>
      </c>
      <c r="C32" s="39"/>
      <c r="D32" s="40">
        <v>5.35</v>
      </c>
      <c r="E32" s="40">
        <v>1</v>
      </c>
      <c r="F32" s="40">
        <f t="shared" si="0"/>
        <v>5.35</v>
      </c>
      <c r="G32" s="40"/>
      <c r="H32" s="40"/>
      <c r="I32" s="40"/>
      <c r="J32" s="41"/>
    </row>
    <row r="33" spans="1:10" x14ac:dyDescent="0.3">
      <c r="A33" s="37"/>
      <c r="B33" s="42" t="s">
        <v>306</v>
      </c>
      <c r="C33" s="39"/>
      <c r="D33" s="40">
        <v>5.37</v>
      </c>
      <c r="E33" s="40">
        <v>1</v>
      </c>
      <c r="F33" s="40">
        <f t="shared" si="0"/>
        <v>5.37</v>
      </c>
      <c r="G33" s="40"/>
      <c r="H33" s="40"/>
      <c r="I33" s="40"/>
      <c r="J33" s="41"/>
    </row>
    <row r="34" spans="1:10" x14ac:dyDescent="0.3">
      <c r="A34" s="37"/>
      <c r="B34" s="42" t="s">
        <v>307</v>
      </c>
      <c r="C34" s="39"/>
      <c r="D34" s="40">
        <v>5.8</v>
      </c>
      <c r="E34" s="40">
        <v>1</v>
      </c>
      <c r="F34" s="40">
        <f t="shared" si="0"/>
        <v>5.8</v>
      </c>
      <c r="G34" s="40"/>
      <c r="H34" s="40"/>
      <c r="I34" s="40"/>
      <c r="J34" s="41"/>
    </row>
    <row r="35" spans="1:10" x14ac:dyDescent="0.3">
      <c r="A35" s="37"/>
      <c r="B35" s="42" t="s">
        <v>308</v>
      </c>
      <c r="C35" s="39"/>
      <c r="D35" s="40">
        <v>5.95</v>
      </c>
      <c r="E35" s="40">
        <v>1</v>
      </c>
      <c r="F35" s="40">
        <f t="shared" si="0"/>
        <v>5.95</v>
      </c>
      <c r="G35" s="40"/>
      <c r="H35" s="40"/>
      <c r="I35" s="40"/>
      <c r="J35" s="41"/>
    </row>
    <row r="36" spans="1:10" x14ac:dyDescent="0.3">
      <c r="A36" s="37"/>
      <c r="B36" s="42" t="s">
        <v>309</v>
      </c>
      <c r="C36" s="39"/>
      <c r="D36" s="40">
        <v>6</v>
      </c>
      <c r="E36" s="40">
        <v>1</v>
      </c>
      <c r="F36" s="40">
        <f t="shared" si="0"/>
        <v>6</v>
      </c>
      <c r="G36" s="40"/>
      <c r="H36" s="40"/>
      <c r="I36" s="40"/>
      <c r="J36" s="41"/>
    </row>
    <row r="37" spans="1:10" x14ac:dyDescent="0.3">
      <c r="A37" s="37"/>
      <c r="B37" s="42" t="s">
        <v>310</v>
      </c>
      <c r="C37" s="39"/>
      <c r="D37" s="40">
        <v>6.1</v>
      </c>
      <c r="E37" s="40">
        <v>1</v>
      </c>
      <c r="F37" s="40">
        <f t="shared" si="0"/>
        <v>6.1</v>
      </c>
      <c r="G37" s="40"/>
      <c r="H37" s="40"/>
      <c r="I37" s="40"/>
      <c r="J37" s="41"/>
    </row>
    <row r="38" spans="1:10" x14ac:dyDescent="0.3">
      <c r="A38" s="37"/>
      <c r="B38" s="42" t="s">
        <v>311</v>
      </c>
      <c r="C38" s="39"/>
      <c r="D38" s="40">
        <v>6.2</v>
      </c>
      <c r="E38" s="40">
        <v>1</v>
      </c>
      <c r="F38" s="40">
        <f t="shared" ref="F38" si="1">D38*E38</f>
        <v>6.2</v>
      </c>
      <c r="G38" s="40"/>
      <c r="H38" s="40"/>
      <c r="I38" s="40"/>
      <c r="J38" s="41"/>
    </row>
    <row r="39" spans="1:10" x14ac:dyDescent="0.3">
      <c r="A39" s="37"/>
      <c r="B39" s="42" t="s">
        <v>584</v>
      </c>
      <c r="C39" s="39"/>
      <c r="D39" s="40">
        <v>4</v>
      </c>
      <c r="E39" s="40">
        <v>35</v>
      </c>
      <c r="F39" s="40">
        <f t="shared" si="0"/>
        <v>140</v>
      </c>
      <c r="G39" s="40"/>
      <c r="H39" s="40"/>
      <c r="I39" s="40"/>
      <c r="J39" s="41"/>
    </row>
    <row r="40" spans="1:10" x14ac:dyDescent="0.3">
      <c r="A40" s="283" t="s">
        <v>44</v>
      </c>
      <c r="B40" s="284"/>
      <c r="C40" s="284"/>
      <c r="D40" s="284"/>
      <c r="E40" s="285"/>
      <c r="F40" s="40">
        <f>SUM(F27:F39)</f>
        <v>303.32</v>
      </c>
      <c r="G40" s="40"/>
      <c r="H40" s="40"/>
      <c r="I40" s="40"/>
      <c r="J40" s="41"/>
    </row>
    <row r="41" spans="1:10" x14ac:dyDescent="0.3">
      <c r="A41" s="43"/>
      <c r="B41" s="44"/>
      <c r="C41" s="45"/>
      <c r="D41" s="45" t="s">
        <v>215</v>
      </c>
      <c r="E41" s="45"/>
      <c r="F41" s="45"/>
      <c r="G41" s="45"/>
      <c r="H41" s="45"/>
      <c r="I41" s="45"/>
      <c r="J41" s="46"/>
    </row>
    <row r="42" spans="1:10" ht="27.6" x14ac:dyDescent="0.3">
      <c r="A42" s="6" t="s">
        <v>124</v>
      </c>
      <c r="B42" s="7" t="str">
        <f>VLOOKUP(A42,SINTÉTICO!$A$9:$J$125,4,FALSE)</f>
        <v>VIGA *7,5 X 15 CM EM PINUS, MISTA OU EQUIVALENTE DA REGIAO - BRUTA</v>
      </c>
      <c r="C42" s="8" t="str">
        <f>VLOOKUP(A42,SINTÉTICO!$A$9:$J$125,5,FALSE)</f>
        <v>M</v>
      </c>
      <c r="D42" s="9">
        <f>43.9+10.15+7.45+7.45+3.15+3.15+2.4+5.05+1.25+2.4+4.6+4.1+4.6+4.1</f>
        <v>103.75</v>
      </c>
      <c r="E42" s="9"/>
      <c r="F42" s="9"/>
      <c r="G42" s="9"/>
      <c r="H42" s="9"/>
      <c r="I42" s="9"/>
      <c r="J42" s="10">
        <f>D42</f>
        <v>103.75</v>
      </c>
    </row>
    <row r="43" spans="1:10" x14ac:dyDescent="0.3">
      <c r="A43" s="6" t="s">
        <v>482</v>
      </c>
      <c r="B43" s="7" t="str">
        <f>VLOOKUP(A43,SINTÉTICO!$A$9:$J$125,4,FALSE)</f>
        <v>ESCADA/DEGRAUS MADEIRA</v>
      </c>
      <c r="C43" s="8" t="str">
        <f>VLOOKUP(A43,SINTÉTICO!$A$9:$J$125,5,FALSE)</f>
        <v>M</v>
      </c>
      <c r="D43" s="9">
        <v>3</v>
      </c>
      <c r="E43" s="9"/>
      <c r="F43" s="9"/>
      <c r="G43" s="9"/>
      <c r="H43" s="9"/>
      <c r="I43" s="9"/>
      <c r="J43" s="10">
        <f>D43</f>
        <v>3</v>
      </c>
    </row>
    <row r="44" spans="1:10" x14ac:dyDescent="0.3">
      <c r="A44" s="6" t="s">
        <v>590</v>
      </c>
      <c r="B44" s="7" t="str">
        <f>VLOOKUP(A44,SINTÉTICO!$A$9:$J$125,4,FALSE)</f>
        <v>Imunização para madeira</v>
      </c>
      <c r="C44" s="8" t="str">
        <f>VLOOKUP(A44,SINTÉTICO!$A$9:$J$125,5,FALSE)</f>
        <v>m²</v>
      </c>
      <c r="D44" s="9"/>
      <c r="E44" s="9"/>
      <c r="F44" s="9"/>
      <c r="G44" s="9"/>
      <c r="H44" s="9"/>
      <c r="I44" s="9"/>
      <c r="J44" s="10">
        <f>H60</f>
        <v>220.9</v>
      </c>
    </row>
    <row r="45" spans="1:10" x14ac:dyDescent="0.3">
      <c r="A45" s="37"/>
      <c r="B45" s="70"/>
      <c r="C45" s="39"/>
      <c r="D45" s="40" t="s">
        <v>43</v>
      </c>
      <c r="E45" s="40" t="s">
        <v>301</v>
      </c>
      <c r="F45" s="40" t="s">
        <v>27</v>
      </c>
      <c r="G45" s="40" t="s">
        <v>42</v>
      </c>
      <c r="H45" s="71" t="s">
        <v>28</v>
      </c>
      <c r="I45" s="40"/>
      <c r="J45" s="41"/>
    </row>
    <row r="46" spans="1:10" x14ac:dyDescent="0.3">
      <c r="A46" s="37"/>
      <c r="B46" s="42" t="s">
        <v>222</v>
      </c>
      <c r="C46" s="39"/>
      <c r="D46" s="40">
        <v>1.1499999999999999</v>
      </c>
      <c r="E46" s="40">
        <v>0.15</v>
      </c>
      <c r="F46" s="40">
        <v>0.15</v>
      </c>
      <c r="G46" s="40">
        <v>4</v>
      </c>
      <c r="H46" s="40">
        <f>(D46*E46*2+D46*F46*2)*G46</f>
        <v>2.76</v>
      </c>
      <c r="I46" s="40"/>
      <c r="J46" s="41"/>
    </row>
    <row r="47" spans="1:10" x14ac:dyDescent="0.3">
      <c r="A47" s="37"/>
      <c r="B47" s="42" t="s">
        <v>223</v>
      </c>
      <c r="C47" s="39"/>
      <c r="D47" s="40">
        <v>3.1</v>
      </c>
      <c r="E47" s="40">
        <v>0.15</v>
      </c>
      <c r="F47" s="40">
        <v>0.15</v>
      </c>
      <c r="G47" s="40">
        <v>2</v>
      </c>
      <c r="H47" s="40">
        <f t="shared" ref="H47:H58" si="2">(D47*E47*2+D47*F47*2)*G47</f>
        <v>3.72</v>
      </c>
      <c r="I47" s="40"/>
      <c r="J47" s="41"/>
    </row>
    <row r="48" spans="1:10" x14ac:dyDescent="0.3">
      <c r="A48" s="37"/>
      <c r="B48" s="42" t="s">
        <v>224</v>
      </c>
      <c r="C48" s="39"/>
      <c r="D48" s="40">
        <v>4.8</v>
      </c>
      <c r="E48" s="40">
        <v>0.15</v>
      </c>
      <c r="F48" s="40">
        <v>0.15</v>
      </c>
      <c r="G48" s="40">
        <v>2</v>
      </c>
      <c r="H48" s="40">
        <f t="shared" si="2"/>
        <v>5.76</v>
      </c>
      <c r="I48" s="40"/>
      <c r="J48" s="41"/>
    </row>
    <row r="49" spans="1:10" x14ac:dyDescent="0.3">
      <c r="A49" s="37"/>
      <c r="B49" s="42" t="s">
        <v>303</v>
      </c>
      <c r="C49" s="39"/>
      <c r="D49" s="40">
        <v>5.0999999999999996</v>
      </c>
      <c r="E49" s="40">
        <v>0.15</v>
      </c>
      <c r="F49" s="40">
        <v>0.15</v>
      </c>
      <c r="G49" s="40">
        <v>19</v>
      </c>
      <c r="H49" s="40">
        <f t="shared" si="2"/>
        <v>58.14</v>
      </c>
      <c r="I49" s="40"/>
      <c r="J49" s="41"/>
    </row>
    <row r="50" spans="1:10" x14ac:dyDescent="0.3">
      <c r="A50" s="37"/>
      <c r="B50" s="42" t="s">
        <v>304</v>
      </c>
      <c r="C50" s="39"/>
      <c r="D50" s="40">
        <v>5.25</v>
      </c>
      <c r="E50" s="40">
        <v>0.15</v>
      </c>
      <c r="F50" s="40">
        <v>0.15</v>
      </c>
      <c r="G50" s="40">
        <v>1</v>
      </c>
      <c r="H50" s="40">
        <f t="shared" si="2"/>
        <v>3.15</v>
      </c>
      <c r="I50" s="40"/>
      <c r="J50" s="150"/>
    </row>
    <row r="51" spans="1:10" x14ac:dyDescent="0.3">
      <c r="A51" s="37"/>
      <c r="B51" s="42" t="s">
        <v>305</v>
      </c>
      <c r="C51" s="39"/>
      <c r="D51" s="40">
        <v>5.35</v>
      </c>
      <c r="E51" s="40">
        <v>0.15</v>
      </c>
      <c r="F51" s="40">
        <v>0.15</v>
      </c>
      <c r="G51" s="40">
        <v>1</v>
      </c>
      <c r="H51" s="40">
        <f t="shared" si="2"/>
        <v>3.21</v>
      </c>
      <c r="I51" s="40"/>
      <c r="J51" s="41"/>
    </row>
    <row r="52" spans="1:10" x14ac:dyDescent="0.3">
      <c r="A52" s="37"/>
      <c r="B52" s="42" t="s">
        <v>306</v>
      </c>
      <c r="C52" s="39"/>
      <c r="D52" s="40">
        <v>5.37</v>
      </c>
      <c r="E52" s="40">
        <v>0.15</v>
      </c>
      <c r="F52" s="40">
        <v>0.15</v>
      </c>
      <c r="G52" s="40">
        <v>1</v>
      </c>
      <c r="H52" s="40">
        <f t="shared" si="2"/>
        <v>3.22</v>
      </c>
      <c r="I52" s="40"/>
      <c r="J52" s="41"/>
    </row>
    <row r="53" spans="1:10" x14ac:dyDescent="0.3">
      <c r="A53" s="37"/>
      <c r="B53" s="42" t="s">
        <v>307</v>
      </c>
      <c r="C53" s="39"/>
      <c r="D53" s="40">
        <v>5.8</v>
      </c>
      <c r="E53" s="40">
        <v>0.15</v>
      </c>
      <c r="F53" s="40">
        <v>0.15</v>
      </c>
      <c r="G53" s="40">
        <v>1</v>
      </c>
      <c r="H53" s="40">
        <f t="shared" si="2"/>
        <v>3.48</v>
      </c>
      <c r="I53" s="40"/>
      <c r="J53" s="41"/>
    </row>
    <row r="54" spans="1:10" x14ac:dyDescent="0.3">
      <c r="A54" s="37"/>
      <c r="B54" s="42" t="s">
        <v>308</v>
      </c>
      <c r="C54" s="39"/>
      <c r="D54" s="40">
        <v>5.95</v>
      </c>
      <c r="E54" s="40">
        <v>0.15</v>
      </c>
      <c r="F54" s="40">
        <v>0.15</v>
      </c>
      <c r="G54" s="40">
        <v>1</v>
      </c>
      <c r="H54" s="40">
        <f t="shared" si="2"/>
        <v>3.57</v>
      </c>
      <c r="I54" s="40"/>
      <c r="J54" s="41"/>
    </row>
    <row r="55" spans="1:10" x14ac:dyDescent="0.3">
      <c r="A55" s="37"/>
      <c r="B55" s="42" t="s">
        <v>309</v>
      </c>
      <c r="C55" s="39"/>
      <c r="D55" s="40">
        <v>6</v>
      </c>
      <c r="E55" s="40">
        <v>0.15</v>
      </c>
      <c r="F55" s="40">
        <v>0.15</v>
      </c>
      <c r="G55" s="40">
        <v>1</v>
      </c>
      <c r="H55" s="40">
        <f t="shared" si="2"/>
        <v>3.6</v>
      </c>
      <c r="I55" s="40"/>
      <c r="J55" s="41"/>
    </row>
    <row r="56" spans="1:10" x14ac:dyDescent="0.3">
      <c r="A56" s="37"/>
      <c r="B56" s="42" t="s">
        <v>310</v>
      </c>
      <c r="C56" s="39"/>
      <c r="D56" s="40">
        <v>6.1</v>
      </c>
      <c r="E56" s="40">
        <v>0.15</v>
      </c>
      <c r="F56" s="40">
        <v>0.15</v>
      </c>
      <c r="G56" s="40">
        <v>1</v>
      </c>
      <c r="H56" s="40">
        <f t="shared" si="2"/>
        <v>3.66</v>
      </c>
      <c r="I56" s="40"/>
      <c r="J56" s="41"/>
    </row>
    <row r="57" spans="1:10" x14ac:dyDescent="0.3">
      <c r="A57" s="37"/>
      <c r="B57" s="42" t="s">
        <v>311</v>
      </c>
      <c r="C57" s="39"/>
      <c r="D57" s="40">
        <v>6.2</v>
      </c>
      <c r="E57" s="40">
        <v>0.15</v>
      </c>
      <c r="F57" s="40">
        <v>0.15</v>
      </c>
      <c r="G57" s="40">
        <v>1</v>
      </c>
      <c r="H57" s="40">
        <f t="shared" si="2"/>
        <v>3.72</v>
      </c>
      <c r="I57" s="40"/>
      <c r="J57" s="41"/>
    </row>
    <row r="58" spans="1:10" x14ac:dyDescent="0.3">
      <c r="A58" s="37"/>
      <c r="B58" s="42" t="s">
        <v>584</v>
      </c>
      <c r="C58" s="39"/>
      <c r="D58" s="40">
        <v>4</v>
      </c>
      <c r="E58" s="40">
        <v>0.15</v>
      </c>
      <c r="F58" s="40">
        <v>0.15</v>
      </c>
      <c r="G58" s="40">
        <v>35</v>
      </c>
      <c r="H58" s="40">
        <f t="shared" si="2"/>
        <v>84</v>
      </c>
      <c r="I58" s="40"/>
      <c r="J58" s="41"/>
    </row>
    <row r="59" spans="1:10" x14ac:dyDescent="0.3">
      <c r="A59" s="37"/>
      <c r="B59" s="42" t="s">
        <v>592</v>
      </c>
      <c r="C59" s="39"/>
      <c r="D59" s="40">
        <v>0.15</v>
      </c>
      <c r="E59" s="40">
        <v>103.75</v>
      </c>
      <c r="F59" s="192">
        <v>7.4999999999999997E-2</v>
      </c>
      <c r="G59" s="40">
        <v>1</v>
      </c>
      <c r="H59" s="40">
        <f>(D59*E59*2+E59*F59)*G59</f>
        <v>38.909999999999997</v>
      </c>
      <c r="I59" s="40"/>
      <c r="J59" s="41"/>
    </row>
    <row r="60" spans="1:10" x14ac:dyDescent="0.3">
      <c r="A60" s="283" t="s">
        <v>44</v>
      </c>
      <c r="B60" s="284"/>
      <c r="C60" s="284"/>
      <c r="D60" s="284"/>
      <c r="E60" s="284"/>
      <c r="F60" s="284"/>
      <c r="G60" s="285"/>
      <c r="H60" s="40">
        <f>SUM(H46:H59)</f>
        <v>220.9</v>
      </c>
      <c r="I60" s="40"/>
      <c r="J60" s="41"/>
    </row>
    <row r="61" spans="1:10" ht="14.4" thickBot="1" x14ac:dyDescent="0.35">
      <c r="A61" s="11"/>
      <c r="B61" s="12"/>
      <c r="C61" s="13"/>
      <c r="D61" s="13"/>
      <c r="E61" s="13"/>
      <c r="F61" s="13"/>
      <c r="G61" s="13"/>
      <c r="H61" s="13"/>
      <c r="I61" s="13"/>
      <c r="J61" s="14"/>
    </row>
    <row r="62" spans="1:10" x14ac:dyDescent="0.3">
      <c r="A62" s="15">
        <v>4</v>
      </c>
      <c r="B62" s="16" t="str">
        <f>VLOOKUP(A62,SINTÉTICO!$A$9:$J$125,4,FALSE)</f>
        <v>PISO</v>
      </c>
      <c r="C62" s="17"/>
      <c r="D62" s="17"/>
      <c r="E62" s="17"/>
      <c r="F62" s="17"/>
      <c r="G62" s="17"/>
      <c r="H62" s="17"/>
      <c r="I62" s="17"/>
      <c r="J62" s="18"/>
    </row>
    <row r="63" spans="1:10" ht="27.6" x14ac:dyDescent="0.3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/>
      <c r="J63" s="5" t="s">
        <v>25</v>
      </c>
    </row>
    <row r="64" spans="1:10" x14ac:dyDescent="0.3">
      <c r="A64" s="6" t="s">
        <v>125</v>
      </c>
      <c r="B64" s="7" t="str">
        <f>VLOOKUP(A64,SINTÉTICO!$A$9:$J$125,4,FALSE)</f>
        <v>ASSOALHO DE MADEIRA. AF_09/2020</v>
      </c>
      <c r="C64" s="8" t="str">
        <f>VLOOKUP(A64,SINTÉTICO!$A$9:$J$125,5,FALSE)</f>
        <v>m²</v>
      </c>
      <c r="D64" s="9"/>
      <c r="E64" s="9"/>
      <c r="F64" s="9"/>
      <c r="G64" s="9"/>
      <c r="H64" s="9"/>
      <c r="I64" s="9"/>
      <c r="J64" s="10">
        <f>F70</f>
        <v>159.43</v>
      </c>
    </row>
    <row r="65" spans="1:10" x14ac:dyDescent="0.3">
      <c r="A65" s="37"/>
      <c r="B65" s="38"/>
      <c r="C65" s="39"/>
      <c r="D65" s="40" t="s">
        <v>27</v>
      </c>
      <c r="E65" s="40" t="s">
        <v>301</v>
      </c>
      <c r="F65" s="40" t="s">
        <v>28</v>
      </c>
      <c r="G65" s="40"/>
      <c r="H65" s="40"/>
      <c r="I65" s="40"/>
      <c r="J65" s="41"/>
    </row>
    <row r="66" spans="1:10" x14ac:dyDescent="0.3">
      <c r="A66" s="37"/>
      <c r="B66" s="42" t="s">
        <v>213</v>
      </c>
      <c r="C66" s="39"/>
      <c r="D66" s="40">
        <v>0</v>
      </c>
      <c r="E66" s="40">
        <v>0</v>
      </c>
      <c r="F66" s="40">
        <v>127.89</v>
      </c>
      <c r="G66" s="40"/>
      <c r="H66" s="40"/>
      <c r="I66" s="40"/>
      <c r="J66" s="41"/>
    </row>
    <row r="67" spans="1:10" x14ac:dyDescent="0.3">
      <c r="A67" s="37"/>
      <c r="B67" s="301" t="s">
        <v>214</v>
      </c>
      <c r="C67" s="39" t="s">
        <v>313</v>
      </c>
      <c r="D67" s="40">
        <v>9.58</v>
      </c>
      <c r="E67" s="40">
        <v>1.2</v>
      </c>
      <c r="F67" s="40">
        <f>D67*E67</f>
        <v>11.5</v>
      </c>
      <c r="G67" s="40"/>
      <c r="H67" s="40"/>
      <c r="I67" s="40"/>
      <c r="J67" s="41"/>
    </row>
    <row r="68" spans="1:10" x14ac:dyDescent="0.3">
      <c r="A68" s="37"/>
      <c r="B68" s="302"/>
      <c r="C68" s="39" t="s">
        <v>314</v>
      </c>
      <c r="D68" s="40">
        <v>0</v>
      </c>
      <c r="E68" s="40">
        <v>0</v>
      </c>
      <c r="F68" s="40">
        <v>2.88</v>
      </c>
      <c r="G68" s="40"/>
      <c r="H68" s="40"/>
      <c r="I68" s="40"/>
      <c r="J68" s="41"/>
    </row>
    <row r="69" spans="1:10" x14ac:dyDescent="0.3">
      <c r="A69" s="37"/>
      <c r="B69" s="307"/>
      <c r="C69" s="39" t="s">
        <v>315</v>
      </c>
      <c r="D69" s="40">
        <v>14.3</v>
      </c>
      <c r="E69" s="40">
        <v>1.2</v>
      </c>
      <c r="F69" s="40">
        <f>D69*E69</f>
        <v>17.16</v>
      </c>
      <c r="G69" s="40"/>
      <c r="H69" s="40"/>
      <c r="I69" s="40"/>
      <c r="J69" s="41"/>
    </row>
    <row r="70" spans="1:10" x14ac:dyDescent="0.3">
      <c r="A70" s="283" t="s">
        <v>44</v>
      </c>
      <c r="B70" s="284"/>
      <c r="C70" s="284"/>
      <c r="D70" s="284"/>
      <c r="E70" s="285"/>
      <c r="F70" s="40">
        <f>SUM(F66:F69)</f>
        <v>159.43</v>
      </c>
      <c r="G70" s="40"/>
      <c r="H70" s="40"/>
      <c r="I70" s="40"/>
      <c r="J70" s="41"/>
    </row>
    <row r="71" spans="1:10" ht="14.4" thickBot="1" x14ac:dyDescent="0.35">
      <c r="A71" s="11"/>
      <c r="B71" s="12"/>
      <c r="C71" s="13"/>
      <c r="D71" s="13"/>
      <c r="E71" s="13"/>
      <c r="F71" s="13"/>
      <c r="G71" s="13"/>
      <c r="H71" s="13"/>
      <c r="I71" s="13"/>
      <c r="J71" s="14"/>
    </row>
    <row r="72" spans="1:10" x14ac:dyDescent="0.3">
      <c r="A72" s="15">
        <v>5</v>
      </c>
      <c r="B72" s="16" t="str">
        <f>VLOOKUP(A72,SINTÉTICO!$A$9:$J$125,4,FALSE)</f>
        <v>PAREDE</v>
      </c>
      <c r="C72" s="17"/>
      <c r="D72" s="17"/>
      <c r="E72" s="17"/>
      <c r="F72" s="17"/>
      <c r="G72" s="17"/>
      <c r="H72" s="17"/>
      <c r="I72" s="17"/>
      <c r="J72" s="18"/>
    </row>
    <row r="73" spans="1:10" ht="27.6" x14ac:dyDescent="0.3">
      <c r="A73" s="3" t="s">
        <v>22</v>
      </c>
      <c r="B73" s="4" t="s">
        <v>23</v>
      </c>
      <c r="C73" s="4" t="s">
        <v>24</v>
      </c>
      <c r="D73" s="4"/>
      <c r="E73" s="4"/>
      <c r="F73" s="4"/>
      <c r="G73" s="4"/>
      <c r="H73" s="4"/>
      <c r="I73" s="4"/>
      <c r="J73" s="5" t="s">
        <v>25</v>
      </c>
    </row>
    <row r="74" spans="1:10" x14ac:dyDescent="0.3">
      <c r="A74" s="6" t="s">
        <v>126</v>
      </c>
      <c r="B74" s="7" t="str">
        <f>VLOOKUP(A74,SINTÉTICO!$A$9:$J$125,4,FALSE)</f>
        <v>Parede em madeira de lei revestida 2 faces</v>
      </c>
      <c r="C74" s="8" t="str">
        <f>VLOOKUP(A74,SINTÉTICO!$A$9:$J$125,5,FALSE)</f>
        <v>m²</v>
      </c>
      <c r="D74" s="9"/>
      <c r="E74" s="9"/>
      <c r="F74" s="9"/>
      <c r="G74" s="9"/>
      <c r="H74" s="9"/>
      <c r="I74" s="9"/>
      <c r="J74" s="10">
        <f>G114</f>
        <v>303.58</v>
      </c>
    </row>
    <row r="75" spans="1:10" x14ac:dyDescent="0.3">
      <c r="A75" s="43"/>
      <c r="B75" s="69"/>
      <c r="C75" s="45"/>
      <c r="D75" s="45" t="s">
        <v>215</v>
      </c>
      <c r="E75" s="45" t="s">
        <v>43</v>
      </c>
      <c r="F75" s="45" t="s">
        <v>276</v>
      </c>
      <c r="G75" s="45" t="s">
        <v>28</v>
      </c>
      <c r="H75" s="45"/>
      <c r="I75" s="45"/>
      <c r="J75" s="46"/>
    </row>
    <row r="76" spans="1:10" x14ac:dyDescent="0.3">
      <c r="A76" s="37"/>
      <c r="B76" s="301" t="s">
        <v>278</v>
      </c>
      <c r="C76" s="39" t="s">
        <v>221</v>
      </c>
      <c r="D76" s="40">
        <v>10.15</v>
      </c>
      <c r="E76" s="40">
        <v>3.6</v>
      </c>
      <c r="F76" s="47" t="s">
        <v>224</v>
      </c>
      <c r="G76" s="40">
        <f>D76*E76</f>
        <v>36.54</v>
      </c>
      <c r="H76" s="40"/>
      <c r="I76" s="40"/>
      <c r="J76" s="41"/>
    </row>
    <row r="77" spans="1:10" x14ac:dyDescent="0.3">
      <c r="A77" s="37"/>
      <c r="B77" s="307"/>
      <c r="C77" s="39" t="s">
        <v>275</v>
      </c>
      <c r="D77" s="40">
        <v>10.15</v>
      </c>
      <c r="E77" s="40">
        <v>0.8</v>
      </c>
      <c r="F77" s="40">
        <v>0</v>
      </c>
      <c r="G77" s="40">
        <f>(D77*E77)/2</f>
        <v>4.0599999999999996</v>
      </c>
      <c r="H77" s="40"/>
      <c r="I77" s="40"/>
      <c r="J77" s="41"/>
    </row>
    <row r="78" spans="1:10" ht="41.4" x14ac:dyDescent="0.3">
      <c r="A78" s="37"/>
      <c r="B78" s="301" t="s">
        <v>279</v>
      </c>
      <c r="C78" s="70" t="s">
        <v>284</v>
      </c>
      <c r="D78" s="40">
        <v>0.85</v>
      </c>
      <c r="E78" s="40">
        <v>0.06</v>
      </c>
      <c r="F78" s="40">
        <v>0</v>
      </c>
      <c r="G78" s="40">
        <f>(D78*E78)/2</f>
        <v>0.03</v>
      </c>
      <c r="H78" s="40"/>
      <c r="I78" s="40"/>
      <c r="J78" s="41"/>
    </row>
    <row r="79" spans="1:10" ht="27.6" x14ac:dyDescent="0.3">
      <c r="A79" s="37"/>
      <c r="B79" s="302"/>
      <c r="C79" s="70" t="s">
        <v>285</v>
      </c>
      <c r="D79" s="40">
        <v>0.85</v>
      </c>
      <c r="E79" s="40">
        <v>4.3</v>
      </c>
      <c r="F79" s="47" t="s">
        <v>223</v>
      </c>
      <c r="G79" s="40">
        <f>D79*E79</f>
        <v>3.66</v>
      </c>
      <c r="H79" s="40"/>
      <c r="I79" s="40"/>
      <c r="J79" s="41"/>
    </row>
    <row r="80" spans="1:10" ht="41.4" x14ac:dyDescent="0.3">
      <c r="A80" s="37"/>
      <c r="B80" s="302"/>
      <c r="C80" s="70" t="s">
        <v>286</v>
      </c>
      <c r="D80" s="40">
        <v>2.95</v>
      </c>
      <c r="E80" s="40">
        <v>0.44</v>
      </c>
      <c r="F80" s="40">
        <v>0</v>
      </c>
      <c r="G80" s="40">
        <f>(D80*E80)/2</f>
        <v>0.65</v>
      </c>
      <c r="H80" s="40"/>
      <c r="I80" s="40"/>
      <c r="J80" s="41"/>
    </row>
    <row r="81" spans="1:10" ht="27.6" x14ac:dyDescent="0.3">
      <c r="A81" s="37"/>
      <c r="B81" s="302"/>
      <c r="C81" s="70" t="s">
        <v>285</v>
      </c>
      <c r="D81" s="40">
        <v>2.95</v>
      </c>
      <c r="E81" s="40">
        <v>3.84</v>
      </c>
      <c r="F81" s="40">
        <v>0</v>
      </c>
      <c r="G81" s="40">
        <f>D81*E81</f>
        <v>11.33</v>
      </c>
      <c r="H81" s="40"/>
      <c r="I81" s="40"/>
      <c r="J81" s="41"/>
    </row>
    <row r="82" spans="1:10" ht="27.6" x14ac:dyDescent="0.3">
      <c r="A82" s="37"/>
      <c r="B82" s="302"/>
      <c r="C82" s="70" t="s">
        <v>287</v>
      </c>
      <c r="D82" s="40">
        <v>1.7</v>
      </c>
      <c r="E82" s="40">
        <v>0.26</v>
      </c>
      <c r="F82" s="40">
        <v>0</v>
      </c>
      <c r="G82" s="40">
        <f>(D82*E82)/2</f>
        <v>0.22</v>
      </c>
      <c r="H82" s="40"/>
      <c r="I82" s="40"/>
      <c r="J82" s="41"/>
    </row>
    <row r="83" spans="1:10" ht="27.6" x14ac:dyDescent="0.3">
      <c r="A83" s="37"/>
      <c r="B83" s="302"/>
      <c r="C83" s="70" t="s">
        <v>288</v>
      </c>
      <c r="D83" s="40">
        <v>1.7</v>
      </c>
      <c r="E83" s="40">
        <v>3.59</v>
      </c>
      <c r="F83" s="40">
        <v>0</v>
      </c>
      <c r="G83" s="40">
        <f>D83*E83</f>
        <v>6.1</v>
      </c>
      <c r="H83" s="40"/>
      <c r="I83" s="40"/>
      <c r="J83" s="41"/>
    </row>
    <row r="84" spans="1:10" ht="27.6" x14ac:dyDescent="0.3">
      <c r="A84" s="37"/>
      <c r="B84" s="302"/>
      <c r="C84" s="70" t="s">
        <v>289</v>
      </c>
      <c r="D84" s="40">
        <v>1.3</v>
      </c>
      <c r="E84" s="40">
        <v>0.2</v>
      </c>
      <c r="F84" s="40">
        <v>0</v>
      </c>
      <c r="G84" s="40">
        <f>(D84*E84)/2</f>
        <v>0.13</v>
      </c>
      <c r="H84" s="40"/>
      <c r="I84" s="40"/>
      <c r="J84" s="41"/>
    </row>
    <row r="85" spans="1:10" ht="27.6" x14ac:dyDescent="0.3">
      <c r="A85" s="37"/>
      <c r="B85" s="302"/>
      <c r="C85" s="70" t="s">
        <v>290</v>
      </c>
      <c r="D85" s="40">
        <v>1.3</v>
      </c>
      <c r="E85" s="40">
        <v>4.09</v>
      </c>
      <c r="F85" s="40">
        <v>0</v>
      </c>
      <c r="G85" s="40">
        <f>D85*E85</f>
        <v>5.32</v>
      </c>
      <c r="H85" s="40"/>
      <c r="I85" s="40"/>
      <c r="J85" s="41"/>
    </row>
    <row r="86" spans="1:10" x14ac:dyDescent="0.3">
      <c r="A86" s="37"/>
      <c r="B86" s="302"/>
      <c r="C86" s="70" t="s">
        <v>291</v>
      </c>
      <c r="D86" s="40">
        <v>3.35</v>
      </c>
      <c r="E86" s="40">
        <v>0.5</v>
      </c>
      <c r="F86" s="40">
        <v>0</v>
      </c>
      <c r="G86" s="40">
        <f>(D86*E86)/2</f>
        <v>0.84</v>
      </c>
      <c r="H86" s="40"/>
      <c r="I86" s="40"/>
      <c r="J86" s="41"/>
    </row>
    <row r="87" spans="1:10" x14ac:dyDescent="0.3">
      <c r="A87" s="37"/>
      <c r="B87" s="302"/>
      <c r="C87" s="70" t="s">
        <v>221</v>
      </c>
      <c r="D87" s="40">
        <v>3.35</v>
      </c>
      <c r="E87" s="40">
        <v>3.59</v>
      </c>
      <c r="F87" s="47" t="s">
        <v>225</v>
      </c>
      <c r="G87" s="40">
        <f t="shared" ref="G87:G104" si="3">D87*E87</f>
        <v>12.03</v>
      </c>
      <c r="H87" s="40"/>
      <c r="I87" s="40"/>
      <c r="J87" s="41"/>
    </row>
    <row r="88" spans="1:10" ht="41.4" x14ac:dyDescent="0.3">
      <c r="A88" s="37"/>
      <c r="B88" s="301" t="s">
        <v>280</v>
      </c>
      <c r="C88" s="39" t="s">
        <v>221</v>
      </c>
      <c r="D88" s="40">
        <v>10.65</v>
      </c>
      <c r="E88" s="40">
        <v>3.6</v>
      </c>
      <c r="F88" s="47" t="s">
        <v>281</v>
      </c>
      <c r="G88" s="40">
        <f t="shared" si="3"/>
        <v>38.340000000000003</v>
      </c>
      <c r="H88" s="40"/>
      <c r="I88" s="40"/>
      <c r="J88" s="41"/>
    </row>
    <row r="89" spans="1:10" x14ac:dyDescent="0.3">
      <c r="A89" s="37"/>
      <c r="B89" s="302"/>
      <c r="C89" s="39" t="s">
        <v>218</v>
      </c>
      <c r="D89" s="40">
        <v>1</v>
      </c>
      <c r="E89" s="40">
        <v>4.0999999999999996</v>
      </c>
      <c r="F89" s="40">
        <v>0</v>
      </c>
      <c r="G89" s="40">
        <f t="shared" si="3"/>
        <v>4.0999999999999996</v>
      </c>
      <c r="H89" s="40"/>
      <c r="I89" s="40"/>
      <c r="J89" s="41"/>
    </row>
    <row r="90" spans="1:10" ht="27.6" x14ac:dyDescent="0.3">
      <c r="A90" s="37"/>
      <c r="B90" s="301" t="s">
        <v>277</v>
      </c>
      <c r="C90" s="39" t="s">
        <v>221</v>
      </c>
      <c r="D90" s="40">
        <v>9.1999999999999993</v>
      </c>
      <c r="E90" s="40">
        <v>3.6</v>
      </c>
      <c r="F90" s="47" t="s">
        <v>283</v>
      </c>
      <c r="G90" s="40">
        <f t="shared" si="3"/>
        <v>33.119999999999997</v>
      </c>
      <c r="H90" s="40"/>
      <c r="I90" s="40"/>
      <c r="J90" s="41"/>
    </row>
    <row r="91" spans="1:10" x14ac:dyDescent="0.3">
      <c r="A91" s="37"/>
      <c r="B91" s="302"/>
      <c r="C91" s="39" t="s">
        <v>282</v>
      </c>
      <c r="D91" s="40">
        <v>1.25</v>
      </c>
      <c r="E91" s="40">
        <v>3.85</v>
      </c>
      <c r="F91" s="47" t="s">
        <v>225</v>
      </c>
      <c r="G91" s="40">
        <f t="shared" si="3"/>
        <v>4.8099999999999996</v>
      </c>
      <c r="H91" s="40"/>
      <c r="I91" s="40"/>
      <c r="J91" s="41"/>
    </row>
    <row r="92" spans="1:10" x14ac:dyDescent="0.3">
      <c r="A92" s="37"/>
      <c r="B92" s="302"/>
      <c r="C92" s="39" t="s">
        <v>218</v>
      </c>
      <c r="D92" s="40">
        <v>1</v>
      </c>
      <c r="E92" s="40">
        <v>4.3</v>
      </c>
      <c r="F92" s="47" t="s">
        <v>222</v>
      </c>
      <c r="G92" s="40">
        <f t="shared" si="3"/>
        <v>4.3</v>
      </c>
      <c r="H92" s="40"/>
      <c r="I92" s="40"/>
      <c r="J92" s="41"/>
    </row>
    <row r="93" spans="1:10" ht="27.6" x14ac:dyDescent="0.3">
      <c r="A93" s="37"/>
      <c r="B93" s="301" t="s">
        <v>7</v>
      </c>
      <c r="C93" s="70" t="s">
        <v>292</v>
      </c>
      <c r="D93" s="40">
        <v>7.4</v>
      </c>
      <c r="E93" s="40">
        <v>3.1</v>
      </c>
      <c r="F93" s="47" t="s">
        <v>293</v>
      </c>
      <c r="G93" s="40">
        <f t="shared" si="3"/>
        <v>22.94</v>
      </c>
      <c r="H93" s="40"/>
      <c r="I93" s="40"/>
      <c r="J93" s="41"/>
    </row>
    <row r="94" spans="1:10" ht="27.6" x14ac:dyDescent="0.3">
      <c r="A94" s="37"/>
      <c r="B94" s="302"/>
      <c r="C94" s="70" t="s">
        <v>295</v>
      </c>
      <c r="D94" s="40">
        <v>7.55</v>
      </c>
      <c r="E94" s="40">
        <v>4.29</v>
      </c>
      <c r="F94" s="47" t="s">
        <v>294</v>
      </c>
      <c r="G94" s="40">
        <f t="shared" si="3"/>
        <v>32.39</v>
      </c>
      <c r="H94" s="40"/>
      <c r="I94" s="40"/>
      <c r="J94" s="41"/>
    </row>
    <row r="95" spans="1:10" x14ac:dyDescent="0.3">
      <c r="A95" s="37"/>
      <c r="B95" s="42" t="s">
        <v>1</v>
      </c>
      <c r="C95" s="39"/>
      <c r="D95" s="40">
        <v>2.9</v>
      </c>
      <c r="E95" s="40">
        <v>3.1</v>
      </c>
      <c r="F95" s="47" t="s">
        <v>296</v>
      </c>
      <c r="G95" s="40">
        <f t="shared" si="3"/>
        <v>8.99</v>
      </c>
      <c r="H95" s="40"/>
      <c r="I95" s="40"/>
      <c r="J95" s="41"/>
    </row>
    <row r="96" spans="1:10" x14ac:dyDescent="0.3">
      <c r="A96" s="37"/>
      <c r="B96" s="42" t="s">
        <v>0</v>
      </c>
      <c r="C96" s="39"/>
      <c r="D96" s="40">
        <v>3.05</v>
      </c>
      <c r="E96" s="40">
        <v>3.1</v>
      </c>
      <c r="F96" s="47" t="s">
        <v>223</v>
      </c>
      <c r="G96" s="40">
        <f t="shared" si="3"/>
        <v>9.4600000000000009</v>
      </c>
      <c r="H96" s="40"/>
      <c r="I96" s="40"/>
      <c r="J96" s="41"/>
    </row>
    <row r="97" spans="1:10" x14ac:dyDescent="0.3">
      <c r="A97" s="37"/>
      <c r="B97" s="42" t="s">
        <v>216</v>
      </c>
      <c r="C97" s="39"/>
      <c r="D97" s="40">
        <v>2.35</v>
      </c>
      <c r="E97" s="40">
        <v>3.1</v>
      </c>
      <c r="F97" s="40">
        <v>0</v>
      </c>
      <c r="G97" s="40">
        <f t="shared" si="3"/>
        <v>7.29</v>
      </c>
      <c r="H97" s="40"/>
      <c r="I97" s="40"/>
      <c r="J97" s="41"/>
    </row>
    <row r="98" spans="1:10" x14ac:dyDescent="0.3">
      <c r="A98" s="37"/>
      <c r="B98" s="42" t="s">
        <v>4</v>
      </c>
      <c r="C98" s="39"/>
      <c r="D98" s="40">
        <v>3.8</v>
      </c>
      <c r="E98" s="40">
        <v>3.1</v>
      </c>
      <c r="F98" s="40">
        <v>0</v>
      </c>
      <c r="G98" s="40">
        <f t="shared" si="3"/>
        <v>11.78</v>
      </c>
      <c r="H98" s="40"/>
      <c r="I98" s="40"/>
      <c r="J98" s="41"/>
    </row>
    <row r="99" spans="1:10" x14ac:dyDescent="0.3">
      <c r="A99" s="37"/>
      <c r="B99" s="42" t="s">
        <v>3</v>
      </c>
      <c r="C99" s="39"/>
      <c r="D99" s="40">
        <f>2.01+2.19</f>
        <v>4.2</v>
      </c>
      <c r="E99" s="40">
        <v>3.1</v>
      </c>
      <c r="F99" s="40">
        <v>0</v>
      </c>
      <c r="G99" s="40">
        <f t="shared" si="3"/>
        <v>13.02</v>
      </c>
      <c r="H99" s="40"/>
      <c r="I99" s="40"/>
      <c r="J99" s="41"/>
    </row>
    <row r="100" spans="1:10" x14ac:dyDescent="0.3">
      <c r="A100" s="37"/>
      <c r="B100" s="42" t="s">
        <v>217</v>
      </c>
      <c r="C100" s="39"/>
      <c r="D100" s="40">
        <v>4</v>
      </c>
      <c r="E100" s="40">
        <v>2.8</v>
      </c>
      <c r="F100" s="40">
        <v>0</v>
      </c>
      <c r="G100" s="40">
        <f t="shared" si="3"/>
        <v>11.2</v>
      </c>
      <c r="H100" s="40"/>
      <c r="I100" s="40"/>
      <c r="J100" s="41"/>
    </row>
    <row r="101" spans="1:10" x14ac:dyDescent="0.3">
      <c r="A101" s="37"/>
      <c r="B101" s="42" t="s">
        <v>6</v>
      </c>
      <c r="C101" s="39"/>
      <c r="D101" s="40">
        <v>3.8</v>
      </c>
      <c r="E101" s="40">
        <v>2.8</v>
      </c>
      <c r="F101" s="40">
        <v>0</v>
      </c>
      <c r="G101" s="40">
        <f t="shared" si="3"/>
        <v>10.64</v>
      </c>
      <c r="H101" s="40"/>
      <c r="I101" s="40"/>
      <c r="J101" s="41"/>
    </row>
    <row r="102" spans="1:10" x14ac:dyDescent="0.3">
      <c r="A102" s="37"/>
      <c r="B102" s="42" t="s">
        <v>5</v>
      </c>
      <c r="C102" s="39"/>
      <c r="D102" s="40">
        <f>4.35+4.45</f>
        <v>8.8000000000000007</v>
      </c>
      <c r="E102" s="40">
        <v>2.8</v>
      </c>
      <c r="F102" s="47" t="s">
        <v>222</v>
      </c>
      <c r="G102" s="40">
        <f t="shared" si="3"/>
        <v>24.64</v>
      </c>
      <c r="H102" s="40"/>
      <c r="I102" s="40"/>
      <c r="J102" s="41"/>
    </row>
    <row r="103" spans="1:10" x14ac:dyDescent="0.3">
      <c r="A103" s="37"/>
      <c r="B103" s="42" t="s">
        <v>10</v>
      </c>
      <c r="C103" s="39"/>
      <c r="D103" s="40">
        <v>1.9</v>
      </c>
      <c r="E103" s="40">
        <v>3.1</v>
      </c>
      <c r="F103" s="40">
        <v>0</v>
      </c>
      <c r="G103" s="40">
        <f t="shared" si="3"/>
        <v>5.89</v>
      </c>
      <c r="H103" s="40"/>
      <c r="I103" s="40"/>
      <c r="J103" s="41"/>
    </row>
    <row r="104" spans="1:10" x14ac:dyDescent="0.3">
      <c r="A104" s="37"/>
      <c r="B104" s="301" t="s">
        <v>8</v>
      </c>
      <c r="C104" s="39" t="s">
        <v>221</v>
      </c>
      <c r="D104" s="40">
        <v>2.15</v>
      </c>
      <c r="E104" s="40">
        <v>3.86</v>
      </c>
      <c r="F104" s="40">
        <v>0</v>
      </c>
      <c r="G104" s="40">
        <f t="shared" si="3"/>
        <v>8.3000000000000007</v>
      </c>
      <c r="H104" s="40"/>
      <c r="I104" s="40"/>
      <c r="J104" s="41"/>
    </row>
    <row r="105" spans="1:10" ht="15" customHeight="1" x14ac:dyDescent="0.3">
      <c r="A105" s="37"/>
      <c r="B105" s="307"/>
      <c r="C105" s="39" t="s">
        <v>291</v>
      </c>
      <c r="D105" s="40">
        <v>2.15</v>
      </c>
      <c r="E105" s="40">
        <v>0.32</v>
      </c>
      <c r="F105" s="40">
        <v>0</v>
      </c>
      <c r="G105" s="40">
        <f>(D105*E105)/2</f>
        <v>0.34</v>
      </c>
      <c r="H105" s="40"/>
      <c r="I105" s="40"/>
      <c r="J105" s="41"/>
    </row>
    <row r="106" spans="1:10" x14ac:dyDescent="0.3">
      <c r="A106" s="37"/>
      <c r="B106" s="301" t="s">
        <v>218</v>
      </c>
      <c r="C106" s="39" t="s">
        <v>221</v>
      </c>
      <c r="D106" s="40">
        <v>1.25</v>
      </c>
      <c r="E106" s="40">
        <v>4.09</v>
      </c>
      <c r="F106" s="40">
        <v>0</v>
      </c>
      <c r="G106" s="40">
        <f>D106*E106</f>
        <v>5.1100000000000003</v>
      </c>
      <c r="H106" s="40"/>
      <c r="I106" s="40"/>
      <c r="J106" s="41"/>
    </row>
    <row r="107" spans="1:10" x14ac:dyDescent="0.3">
      <c r="A107" s="37"/>
      <c r="B107" s="307"/>
      <c r="C107" s="39" t="s">
        <v>291</v>
      </c>
      <c r="D107" s="40">
        <v>1.25</v>
      </c>
      <c r="E107" s="40">
        <v>0.19</v>
      </c>
      <c r="F107" s="40">
        <v>0</v>
      </c>
      <c r="G107" s="40">
        <f>(D107*E107)/2</f>
        <v>0.12</v>
      </c>
      <c r="H107" s="40"/>
      <c r="I107" s="40"/>
      <c r="J107" s="41"/>
    </row>
    <row r="108" spans="1:10" x14ac:dyDescent="0.3">
      <c r="A108" s="43"/>
      <c r="B108" s="44"/>
      <c r="C108" s="45"/>
      <c r="D108" s="45" t="s">
        <v>27</v>
      </c>
      <c r="E108" s="45" t="s">
        <v>43</v>
      </c>
      <c r="F108" s="45" t="s">
        <v>42</v>
      </c>
      <c r="G108" s="45" t="s">
        <v>28</v>
      </c>
      <c r="H108" s="45"/>
      <c r="I108" s="45"/>
      <c r="J108" s="46"/>
    </row>
    <row r="109" spans="1:10" x14ac:dyDescent="0.3">
      <c r="A109" s="37"/>
      <c r="B109" s="42" t="s">
        <v>222</v>
      </c>
      <c r="C109" s="39"/>
      <c r="D109" s="40">
        <v>0.7</v>
      </c>
      <c r="E109" s="40">
        <v>2.1</v>
      </c>
      <c r="F109" s="40">
        <v>3</v>
      </c>
      <c r="G109" s="40">
        <f>D109*E109*F109</f>
        <v>4.41</v>
      </c>
      <c r="H109" s="40"/>
      <c r="I109" s="40"/>
      <c r="J109" s="41"/>
    </row>
    <row r="110" spans="1:10" x14ac:dyDescent="0.3">
      <c r="A110" s="37"/>
      <c r="B110" s="42" t="s">
        <v>223</v>
      </c>
      <c r="C110" s="39"/>
      <c r="D110" s="40">
        <v>0.8</v>
      </c>
      <c r="E110" s="40">
        <v>2.1</v>
      </c>
      <c r="F110" s="40">
        <v>10</v>
      </c>
      <c r="G110" s="40">
        <f t="shared" ref="G110:G113" si="4">D110*E110*F110</f>
        <v>16.8</v>
      </c>
      <c r="H110" s="40"/>
      <c r="I110" s="40"/>
      <c r="J110" s="41"/>
    </row>
    <row r="111" spans="1:10" x14ac:dyDescent="0.3">
      <c r="A111" s="37"/>
      <c r="B111" s="42" t="s">
        <v>224</v>
      </c>
      <c r="C111" s="39"/>
      <c r="D111" s="40">
        <v>1.4</v>
      </c>
      <c r="E111" s="40">
        <v>2.1</v>
      </c>
      <c r="F111" s="40">
        <v>1</v>
      </c>
      <c r="G111" s="40">
        <f t="shared" si="4"/>
        <v>2.94</v>
      </c>
      <c r="H111" s="40"/>
      <c r="I111" s="40"/>
      <c r="J111" s="41"/>
    </row>
    <row r="112" spans="1:10" x14ac:dyDescent="0.3">
      <c r="A112" s="37"/>
      <c r="B112" s="42" t="s">
        <v>225</v>
      </c>
      <c r="C112" s="39"/>
      <c r="D112" s="40">
        <v>0.8</v>
      </c>
      <c r="E112" s="40">
        <v>0.6</v>
      </c>
      <c r="F112" s="40">
        <v>7</v>
      </c>
      <c r="G112" s="40">
        <f t="shared" si="4"/>
        <v>3.36</v>
      </c>
      <c r="H112" s="40"/>
      <c r="I112" s="40"/>
      <c r="J112" s="41"/>
    </row>
    <row r="113" spans="1:10" x14ac:dyDescent="0.3">
      <c r="A113" s="37"/>
      <c r="B113" s="42" t="s">
        <v>226</v>
      </c>
      <c r="C113" s="39"/>
      <c r="D113" s="40">
        <v>1.5</v>
      </c>
      <c r="E113" s="40">
        <v>1.1000000000000001</v>
      </c>
      <c r="F113" s="40">
        <v>4</v>
      </c>
      <c r="G113" s="40">
        <f t="shared" si="4"/>
        <v>6.6</v>
      </c>
      <c r="H113" s="40"/>
      <c r="I113" s="40"/>
      <c r="J113" s="41"/>
    </row>
    <row r="114" spans="1:10" x14ac:dyDescent="0.3">
      <c r="A114" s="283" t="s">
        <v>44</v>
      </c>
      <c r="B114" s="284"/>
      <c r="C114" s="284"/>
      <c r="D114" s="284"/>
      <c r="E114" s="284"/>
      <c r="F114" s="285"/>
      <c r="G114" s="40">
        <f>SUM(G76:G107)-SUM(G109:G113)</f>
        <v>303.58</v>
      </c>
      <c r="H114" s="40"/>
      <c r="I114" s="40"/>
      <c r="J114" s="41"/>
    </row>
    <row r="115" spans="1:10" ht="27.6" x14ac:dyDescent="0.3">
      <c r="A115" s="6" t="s">
        <v>298</v>
      </c>
      <c r="B115" s="7" t="str">
        <f>VLOOKUP(A115,SINTÉTICO!$A$9:$J$125,4,FALSE)</f>
        <v>PINTURA TINTA DE ACABAMENTO (PIGMENTADA) ESMALTE SINTÉTICO BRILHANTE EM MADEIRA, 2 DEMÃOS. AF_01/2021</v>
      </c>
      <c r="C115" s="8" t="str">
        <f>VLOOKUP(A115,SINTÉTICO!$A$9:$J$125,5,FALSE)</f>
        <v>m²</v>
      </c>
      <c r="D115" s="9"/>
      <c r="E115" s="9"/>
      <c r="F115" s="9"/>
      <c r="G115" s="9"/>
      <c r="H115" s="9"/>
      <c r="I115" s="9"/>
      <c r="J115" s="10">
        <f>H155</f>
        <v>607.14</v>
      </c>
    </row>
    <row r="116" spans="1:10" x14ac:dyDescent="0.3">
      <c r="A116" s="43"/>
      <c r="B116" s="69"/>
      <c r="C116" s="45"/>
      <c r="D116" s="45" t="s">
        <v>215</v>
      </c>
      <c r="E116" s="45" t="s">
        <v>43</v>
      </c>
      <c r="F116" s="45" t="s">
        <v>276</v>
      </c>
      <c r="G116" s="45" t="s">
        <v>299</v>
      </c>
      <c r="H116" s="45" t="s">
        <v>28</v>
      </c>
      <c r="I116" s="45"/>
      <c r="J116" s="46"/>
    </row>
    <row r="117" spans="1:10" x14ac:dyDescent="0.3">
      <c r="A117" s="37"/>
      <c r="B117" s="301" t="s">
        <v>278</v>
      </c>
      <c r="C117" s="39" t="s">
        <v>221</v>
      </c>
      <c r="D117" s="40">
        <v>10.15</v>
      </c>
      <c r="E117" s="40">
        <v>3.6</v>
      </c>
      <c r="F117" s="47" t="s">
        <v>224</v>
      </c>
      <c r="G117" s="40">
        <v>2</v>
      </c>
      <c r="H117" s="40">
        <f>D117*E117*G117</f>
        <v>73.08</v>
      </c>
      <c r="I117" s="40"/>
      <c r="J117" s="41"/>
    </row>
    <row r="118" spans="1:10" x14ac:dyDescent="0.3">
      <c r="A118" s="37"/>
      <c r="B118" s="307"/>
      <c r="C118" s="39" t="s">
        <v>275</v>
      </c>
      <c r="D118" s="40">
        <v>10.15</v>
      </c>
      <c r="E118" s="40">
        <v>0.8</v>
      </c>
      <c r="F118" s="40">
        <v>0</v>
      </c>
      <c r="G118" s="40">
        <v>2</v>
      </c>
      <c r="H118" s="40">
        <f>((D118*E118)/2)*G118</f>
        <v>8.1199999999999992</v>
      </c>
      <c r="I118" s="40"/>
      <c r="J118" s="41"/>
    </row>
    <row r="119" spans="1:10" ht="41.4" x14ac:dyDescent="0.3">
      <c r="A119" s="37"/>
      <c r="B119" s="301" t="s">
        <v>279</v>
      </c>
      <c r="C119" s="70" t="s">
        <v>284</v>
      </c>
      <c r="D119" s="40">
        <v>0.85</v>
      </c>
      <c r="E119" s="40">
        <v>0.06</v>
      </c>
      <c r="F119" s="40">
        <v>0</v>
      </c>
      <c r="G119" s="40">
        <v>2</v>
      </c>
      <c r="H119" s="40">
        <f>((D119*E119)/2)*G119</f>
        <v>0.05</v>
      </c>
      <c r="I119" s="40"/>
      <c r="J119" s="41"/>
    </row>
    <row r="120" spans="1:10" ht="27.6" x14ac:dyDescent="0.3">
      <c r="A120" s="37"/>
      <c r="B120" s="302"/>
      <c r="C120" s="70" t="s">
        <v>285</v>
      </c>
      <c r="D120" s="40">
        <v>0.85</v>
      </c>
      <c r="E120" s="40">
        <v>4.3</v>
      </c>
      <c r="F120" s="47" t="s">
        <v>223</v>
      </c>
      <c r="G120" s="40">
        <v>2</v>
      </c>
      <c r="H120" s="40">
        <f>D120*E120*G120</f>
        <v>7.31</v>
      </c>
      <c r="I120" s="40"/>
      <c r="J120" s="41"/>
    </row>
    <row r="121" spans="1:10" ht="41.4" x14ac:dyDescent="0.3">
      <c r="A121" s="37"/>
      <c r="B121" s="302"/>
      <c r="C121" s="70" t="s">
        <v>286</v>
      </c>
      <c r="D121" s="40">
        <v>2.95</v>
      </c>
      <c r="E121" s="40">
        <v>0.44</v>
      </c>
      <c r="F121" s="40">
        <v>0</v>
      </c>
      <c r="G121" s="40">
        <v>2</v>
      </c>
      <c r="H121" s="40">
        <f>((D121*E121)/2)*G121</f>
        <v>1.3</v>
      </c>
      <c r="I121" s="40"/>
      <c r="J121" s="41"/>
    </row>
    <row r="122" spans="1:10" ht="27.6" x14ac:dyDescent="0.3">
      <c r="A122" s="37"/>
      <c r="B122" s="302"/>
      <c r="C122" s="70" t="s">
        <v>285</v>
      </c>
      <c r="D122" s="40">
        <v>2.95</v>
      </c>
      <c r="E122" s="40">
        <v>3.84</v>
      </c>
      <c r="F122" s="40">
        <v>0</v>
      </c>
      <c r="G122" s="40">
        <v>2</v>
      </c>
      <c r="H122" s="40">
        <f>D122*E122*G122</f>
        <v>22.66</v>
      </c>
      <c r="I122" s="40"/>
      <c r="J122" s="41"/>
    </row>
    <row r="123" spans="1:10" ht="27.6" x14ac:dyDescent="0.3">
      <c r="A123" s="37"/>
      <c r="B123" s="302"/>
      <c r="C123" s="70" t="s">
        <v>287</v>
      </c>
      <c r="D123" s="40">
        <v>1.7</v>
      </c>
      <c r="E123" s="40">
        <v>0.26</v>
      </c>
      <c r="F123" s="40">
        <v>0</v>
      </c>
      <c r="G123" s="40">
        <v>2</v>
      </c>
      <c r="H123" s="40">
        <f>((D123*E123)/2)*G123</f>
        <v>0.44</v>
      </c>
      <c r="I123" s="40"/>
      <c r="J123" s="41"/>
    </row>
    <row r="124" spans="1:10" ht="27.6" x14ac:dyDescent="0.3">
      <c r="A124" s="37"/>
      <c r="B124" s="302"/>
      <c r="C124" s="70" t="s">
        <v>288</v>
      </c>
      <c r="D124" s="40">
        <v>1.7</v>
      </c>
      <c r="E124" s="40">
        <v>3.59</v>
      </c>
      <c r="F124" s="40">
        <v>0</v>
      </c>
      <c r="G124" s="40">
        <v>2</v>
      </c>
      <c r="H124" s="40">
        <f>D124*E124*G124</f>
        <v>12.21</v>
      </c>
      <c r="I124" s="40"/>
      <c r="J124" s="41"/>
    </row>
    <row r="125" spans="1:10" ht="27.6" x14ac:dyDescent="0.3">
      <c r="A125" s="37"/>
      <c r="B125" s="302"/>
      <c r="C125" s="70" t="s">
        <v>289</v>
      </c>
      <c r="D125" s="40">
        <v>1.3</v>
      </c>
      <c r="E125" s="40">
        <v>0.2</v>
      </c>
      <c r="F125" s="40">
        <v>0</v>
      </c>
      <c r="G125" s="40">
        <v>2</v>
      </c>
      <c r="H125" s="40">
        <f>((D125*E125)/2)*G125</f>
        <v>0.26</v>
      </c>
      <c r="I125" s="40"/>
      <c r="J125" s="41"/>
    </row>
    <row r="126" spans="1:10" ht="27.6" x14ac:dyDescent="0.3">
      <c r="A126" s="37"/>
      <c r="B126" s="302"/>
      <c r="C126" s="70" t="s">
        <v>290</v>
      </c>
      <c r="D126" s="40">
        <v>1.3</v>
      </c>
      <c r="E126" s="40">
        <v>4.09</v>
      </c>
      <c r="F126" s="40">
        <v>0</v>
      </c>
      <c r="G126" s="40">
        <v>2</v>
      </c>
      <c r="H126" s="40">
        <f>D126*E126*G126</f>
        <v>10.63</v>
      </c>
      <c r="I126" s="40"/>
      <c r="J126" s="41"/>
    </row>
    <row r="127" spans="1:10" x14ac:dyDescent="0.3">
      <c r="A127" s="37"/>
      <c r="B127" s="302"/>
      <c r="C127" s="70" t="s">
        <v>291</v>
      </c>
      <c r="D127" s="40">
        <v>3.35</v>
      </c>
      <c r="E127" s="40">
        <v>0.5</v>
      </c>
      <c r="F127" s="40">
        <v>0</v>
      </c>
      <c r="G127" s="40">
        <v>2</v>
      </c>
      <c r="H127" s="40">
        <f>((D127*E127)/2)*G127</f>
        <v>1.68</v>
      </c>
      <c r="I127" s="40"/>
      <c r="J127" s="41"/>
    </row>
    <row r="128" spans="1:10" x14ac:dyDescent="0.3">
      <c r="A128" s="37"/>
      <c r="B128" s="302"/>
      <c r="C128" s="70" t="s">
        <v>221</v>
      </c>
      <c r="D128" s="40">
        <v>3.35</v>
      </c>
      <c r="E128" s="40">
        <v>3.59</v>
      </c>
      <c r="F128" s="47" t="s">
        <v>225</v>
      </c>
      <c r="G128" s="40">
        <v>2</v>
      </c>
      <c r="H128" s="40">
        <f>D128*E128*G128</f>
        <v>24.05</v>
      </c>
      <c r="I128" s="40"/>
      <c r="J128" s="41"/>
    </row>
    <row r="129" spans="1:10" ht="41.4" x14ac:dyDescent="0.3">
      <c r="A129" s="37"/>
      <c r="B129" s="301" t="s">
        <v>280</v>
      </c>
      <c r="C129" s="39" t="s">
        <v>221</v>
      </c>
      <c r="D129" s="40">
        <v>10.65</v>
      </c>
      <c r="E129" s="40">
        <v>3.6</v>
      </c>
      <c r="F129" s="47" t="s">
        <v>281</v>
      </c>
      <c r="G129" s="40">
        <v>2</v>
      </c>
      <c r="H129" s="40">
        <f>D129*E129*G129</f>
        <v>76.680000000000007</v>
      </c>
      <c r="I129" s="40"/>
      <c r="J129" s="41"/>
    </row>
    <row r="130" spans="1:10" x14ac:dyDescent="0.3">
      <c r="A130" s="37"/>
      <c r="B130" s="302"/>
      <c r="C130" s="39" t="s">
        <v>218</v>
      </c>
      <c r="D130" s="40">
        <v>1</v>
      </c>
      <c r="E130" s="40">
        <v>4.0999999999999996</v>
      </c>
      <c r="F130" s="40">
        <v>0</v>
      </c>
      <c r="G130" s="40">
        <v>2</v>
      </c>
      <c r="H130" s="40">
        <f t="shared" ref="H130:H144" si="5">D130*E130*G130</f>
        <v>8.1999999999999993</v>
      </c>
      <c r="I130" s="40"/>
      <c r="J130" s="41"/>
    </row>
    <row r="131" spans="1:10" ht="27.6" x14ac:dyDescent="0.3">
      <c r="A131" s="37"/>
      <c r="B131" s="301" t="s">
        <v>277</v>
      </c>
      <c r="C131" s="39" t="s">
        <v>221</v>
      </c>
      <c r="D131" s="40">
        <v>9.1999999999999993</v>
      </c>
      <c r="E131" s="40">
        <v>3.6</v>
      </c>
      <c r="F131" s="47" t="s">
        <v>283</v>
      </c>
      <c r="G131" s="40">
        <v>2</v>
      </c>
      <c r="H131" s="40">
        <f t="shared" si="5"/>
        <v>66.239999999999995</v>
      </c>
      <c r="I131" s="40"/>
      <c r="J131" s="41"/>
    </row>
    <row r="132" spans="1:10" x14ac:dyDescent="0.3">
      <c r="A132" s="37"/>
      <c r="B132" s="302"/>
      <c r="C132" s="39" t="s">
        <v>282</v>
      </c>
      <c r="D132" s="40">
        <v>1.25</v>
      </c>
      <c r="E132" s="40">
        <v>3.85</v>
      </c>
      <c r="F132" s="47" t="s">
        <v>225</v>
      </c>
      <c r="G132" s="40">
        <v>2</v>
      </c>
      <c r="H132" s="40">
        <f t="shared" si="5"/>
        <v>9.6300000000000008</v>
      </c>
      <c r="I132" s="40"/>
      <c r="J132" s="41"/>
    </row>
    <row r="133" spans="1:10" x14ac:dyDescent="0.3">
      <c r="A133" s="37"/>
      <c r="B133" s="302"/>
      <c r="C133" s="39" t="s">
        <v>218</v>
      </c>
      <c r="D133" s="40">
        <v>1</v>
      </c>
      <c r="E133" s="40">
        <v>4.3</v>
      </c>
      <c r="F133" s="47" t="s">
        <v>222</v>
      </c>
      <c r="G133" s="40">
        <v>2</v>
      </c>
      <c r="H133" s="40">
        <f t="shared" si="5"/>
        <v>8.6</v>
      </c>
      <c r="I133" s="40"/>
      <c r="J133" s="41"/>
    </row>
    <row r="134" spans="1:10" ht="27.6" x14ac:dyDescent="0.3">
      <c r="A134" s="37"/>
      <c r="B134" s="301" t="s">
        <v>7</v>
      </c>
      <c r="C134" s="70" t="s">
        <v>292</v>
      </c>
      <c r="D134" s="40">
        <v>7.4</v>
      </c>
      <c r="E134" s="40">
        <v>3.1</v>
      </c>
      <c r="F134" s="47" t="s">
        <v>293</v>
      </c>
      <c r="G134" s="40">
        <v>2</v>
      </c>
      <c r="H134" s="40">
        <f t="shared" si="5"/>
        <v>45.88</v>
      </c>
      <c r="I134" s="40"/>
      <c r="J134" s="41"/>
    </row>
    <row r="135" spans="1:10" ht="27.6" x14ac:dyDescent="0.3">
      <c r="A135" s="37"/>
      <c r="B135" s="302"/>
      <c r="C135" s="70" t="s">
        <v>295</v>
      </c>
      <c r="D135" s="40">
        <v>7.55</v>
      </c>
      <c r="E135" s="40">
        <v>4.29</v>
      </c>
      <c r="F135" s="47" t="s">
        <v>294</v>
      </c>
      <c r="G135" s="40">
        <v>2</v>
      </c>
      <c r="H135" s="40">
        <f t="shared" si="5"/>
        <v>64.78</v>
      </c>
      <c r="I135" s="40"/>
      <c r="J135" s="41"/>
    </row>
    <row r="136" spans="1:10" x14ac:dyDescent="0.3">
      <c r="A136" s="37"/>
      <c r="B136" s="42" t="s">
        <v>1</v>
      </c>
      <c r="C136" s="39"/>
      <c r="D136" s="40">
        <v>2.9</v>
      </c>
      <c r="E136" s="40">
        <v>3.1</v>
      </c>
      <c r="F136" s="47" t="s">
        <v>296</v>
      </c>
      <c r="G136" s="40">
        <v>2</v>
      </c>
      <c r="H136" s="40">
        <f t="shared" si="5"/>
        <v>17.98</v>
      </c>
      <c r="I136" s="40"/>
      <c r="J136" s="41"/>
    </row>
    <row r="137" spans="1:10" x14ac:dyDescent="0.3">
      <c r="A137" s="37"/>
      <c r="B137" s="42" t="s">
        <v>0</v>
      </c>
      <c r="C137" s="39"/>
      <c r="D137" s="40">
        <v>3.05</v>
      </c>
      <c r="E137" s="40">
        <v>3.1</v>
      </c>
      <c r="F137" s="47" t="s">
        <v>223</v>
      </c>
      <c r="G137" s="40">
        <v>2</v>
      </c>
      <c r="H137" s="40">
        <f t="shared" si="5"/>
        <v>18.91</v>
      </c>
      <c r="I137" s="40"/>
      <c r="J137" s="41"/>
    </row>
    <row r="138" spans="1:10" x14ac:dyDescent="0.3">
      <c r="A138" s="37"/>
      <c r="B138" s="42" t="s">
        <v>216</v>
      </c>
      <c r="C138" s="39"/>
      <c r="D138" s="40">
        <v>2.35</v>
      </c>
      <c r="E138" s="40">
        <v>3.1</v>
      </c>
      <c r="F138" s="40">
        <v>0</v>
      </c>
      <c r="G138" s="40">
        <v>2</v>
      </c>
      <c r="H138" s="40">
        <f t="shared" si="5"/>
        <v>14.57</v>
      </c>
      <c r="I138" s="40"/>
      <c r="J138" s="41"/>
    </row>
    <row r="139" spans="1:10" x14ac:dyDescent="0.3">
      <c r="A139" s="37"/>
      <c r="B139" s="42" t="s">
        <v>4</v>
      </c>
      <c r="C139" s="39"/>
      <c r="D139" s="40">
        <v>3.8</v>
      </c>
      <c r="E139" s="40">
        <v>3.1</v>
      </c>
      <c r="F139" s="40">
        <v>0</v>
      </c>
      <c r="G139" s="40">
        <v>2</v>
      </c>
      <c r="H139" s="40">
        <f t="shared" si="5"/>
        <v>23.56</v>
      </c>
      <c r="I139" s="40"/>
      <c r="J139" s="41"/>
    </row>
    <row r="140" spans="1:10" x14ac:dyDescent="0.3">
      <c r="A140" s="37"/>
      <c r="B140" s="42" t="s">
        <v>3</v>
      </c>
      <c r="C140" s="39"/>
      <c r="D140" s="40">
        <f>2.01+2.19</f>
        <v>4.2</v>
      </c>
      <c r="E140" s="40">
        <v>3.1</v>
      </c>
      <c r="F140" s="40">
        <v>0</v>
      </c>
      <c r="G140" s="40">
        <v>2</v>
      </c>
      <c r="H140" s="40">
        <f t="shared" si="5"/>
        <v>26.04</v>
      </c>
      <c r="I140" s="40"/>
      <c r="J140" s="41"/>
    </row>
    <row r="141" spans="1:10" x14ac:dyDescent="0.3">
      <c r="A141" s="37"/>
      <c r="B141" s="42" t="s">
        <v>217</v>
      </c>
      <c r="C141" s="39"/>
      <c r="D141" s="40">
        <v>4</v>
      </c>
      <c r="E141" s="40">
        <v>2.8</v>
      </c>
      <c r="F141" s="40">
        <v>0</v>
      </c>
      <c r="G141" s="40">
        <v>2</v>
      </c>
      <c r="H141" s="40">
        <f t="shared" si="5"/>
        <v>22.4</v>
      </c>
      <c r="I141" s="40"/>
      <c r="J141" s="41"/>
    </row>
    <row r="142" spans="1:10" x14ac:dyDescent="0.3">
      <c r="A142" s="37"/>
      <c r="B142" s="42" t="s">
        <v>6</v>
      </c>
      <c r="C142" s="39"/>
      <c r="D142" s="40">
        <v>3.8</v>
      </c>
      <c r="E142" s="40">
        <v>2.8</v>
      </c>
      <c r="F142" s="40">
        <v>0</v>
      </c>
      <c r="G142" s="40">
        <v>2</v>
      </c>
      <c r="H142" s="40">
        <f t="shared" si="5"/>
        <v>21.28</v>
      </c>
      <c r="I142" s="40"/>
      <c r="J142" s="41"/>
    </row>
    <row r="143" spans="1:10" x14ac:dyDescent="0.3">
      <c r="A143" s="37"/>
      <c r="B143" s="42" t="s">
        <v>5</v>
      </c>
      <c r="C143" s="39"/>
      <c r="D143" s="40">
        <f>4.35+4.45</f>
        <v>8.8000000000000007</v>
      </c>
      <c r="E143" s="40">
        <v>2.8</v>
      </c>
      <c r="F143" s="47" t="s">
        <v>222</v>
      </c>
      <c r="G143" s="40">
        <v>2</v>
      </c>
      <c r="H143" s="40">
        <f t="shared" si="5"/>
        <v>49.28</v>
      </c>
      <c r="I143" s="40"/>
      <c r="J143" s="41"/>
    </row>
    <row r="144" spans="1:10" x14ac:dyDescent="0.3">
      <c r="A144" s="37"/>
      <c r="B144" s="42" t="s">
        <v>10</v>
      </c>
      <c r="C144" s="39"/>
      <c r="D144" s="40">
        <v>1.9</v>
      </c>
      <c r="E144" s="40">
        <v>3.1</v>
      </c>
      <c r="F144" s="40">
        <v>0</v>
      </c>
      <c r="G144" s="40">
        <v>2</v>
      </c>
      <c r="H144" s="40">
        <f t="shared" si="5"/>
        <v>11.78</v>
      </c>
      <c r="I144" s="40"/>
      <c r="J144" s="41"/>
    </row>
    <row r="145" spans="1:10" x14ac:dyDescent="0.3">
      <c r="A145" s="37"/>
      <c r="B145" s="301" t="s">
        <v>8</v>
      </c>
      <c r="C145" s="39" t="s">
        <v>221</v>
      </c>
      <c r="D145" s="40">
        <v>2.15</v>
      </c>
      <c r="E145" s="40">
        <v>3.86</v>
      </c>
      <c r="F145" s="40">
        <v>0</v>
      </c>
      <c r="G145" s="40">
        <v>2</v>
      </c>
      <c r="H145" s="40">
        <f>D145*E145*G145</f>
        <v>16.600000000000001</v>
      </c>
      <c r="I145" s="40"/>
      <c r="J145" s="41"/>
    </row>
    <row r="146" spans="1:10" ht="15" customHeight="1" x14ac:dyDescent="0.3">
      <c r="A146" s="37"/>
      <c r="B146" s="307"/>
      <c r="C146" s="39" t="s">
        <v>291</v>
      </c>
      <c r="D146" s="40">
        <v>2.15</v>
      </c>
      <c r="E146" s="40">
        <v>0.32</v>
      </c>
      <c r="F146" s="40">
        <v>0</v>
      </c>
      <c r="G146" s="40">
        <v>2</v>
      </c>
      <c r="H146" s="40">
        <f>((D146*E146)/2)*G146</f>
        <v>0.69</v>
      </c>
      <c r="I146" s="40"/>
      <c r="J146" s="41"/>
    </row>
    <row r="147" spans="1:10" x14ac:dyDescent="0.3">
      <c r="A147" s="37"/>
      <c r="B147" s="301" t="s">
        <v>218</v>
      </c>
      <c r="C147" s="39" t="s">
        <v>221</v>
      </c>
      <c r="D147" s="40">
        <v>1.25</v>
      </c>
      <c r="E147" s="40">
        <v>4.09</v>
      </c>
      <c r="F147" s="40">
        <v>0</v>
      </c>
      <c r="G147" s="40">
        <v>2</v>
      </c>
      <c r="H147" s="40">
        <f>D147*E147*G147</f>
        <v>10.23</v>
      </c>
      <c r="I147" s="40"/>
      <c r="J147" s="41"/>
    </row>
    <row r="148" spans="1:10" x14ac:dyDescent="0.3">
      <c r="A148" s="37"/>
      <c r="B148" s="307"/>
      <c r="C148" s="39" t="s">
        <v>291</v>
      </c>
      <c r="D148" s="40">
        <v>1.25</v>
      </c>
      <c r="E148" s="40">
        <v>0.19</v>
      </c>
      <c r="F148" s="40">
        <v>0</v>
      </c>
      <c r="G148" s="40">
        <v>2</v>
      </c>
      <c r="H148" s="40">
        <f>((D148*E148)/2)*G148</f>
        <v>0.24</v>
      </c>
      <c r="I148" s="40"/>
      <c r="J148" s="41"/>
    </row>
    <row r="149" spans="1:10" x14ac:dyDescent="0.3">
      <c r="A149" s="43"/>
      <c r="B149" s="44"/>
      <c r="C149" s="45"/>
      <c r="D149" s="45" t="s">
        <v>27</v>
      </c>
      <c r="E149" s="45" t="s">
        <v>43</v>
      </c>
      <c r="F149" s="45" t="s">
        <v>42</v>
      </c>
      <c r="G149" s="45" t="s">
        <v>299</v>
      </c>
      <c r="H149" s="45" t="s">
        <v>28</v>
      </c>
      <c r="I149" s="45"/>
      <c r="J149" s="46"/>
    </row>
    <row r="150" spans="1:10" x14ac:dyDescent="0.3">
      <c r="A150" s="37"/>
      <c r="B150" s="42" t="s">
        <v>222</v>
      </c>
      <c r="C150" s="39"/>
      <c r="D150" s="40">
        <v>0.7</v>
      </c>
      <c r="E150" s="40">
        <v>2.1</v>
      </c>
      <c r="F150" s="40">
        <v>3</v>
      </c>
      <c r="G150" s="40">
        <v>2</v>
      </c>
      <c r="H150" s="40">
        <f>D150*E150*F150*G150</f>
        <v>8.82</v>
      </c>
      <c r="I150" s="40"/>
      <c r="J150" s="41"/>
    </row>
    <row r="151" spans="1:10" x14ac:dyDescent="0.3">
      <c r="A151" s="37"/>
      <c r="B151" s="42" t="s">
        <v>223</v>
      </c>
      <c r="C151" s="39"/>
      <c r="D151" s="40">
        <v>0.8</v>
      </c>
      <c r="E151" s="40">
        <v>2.1</v>
      </c>
      <c r="F151" s="40">
        <v>10</v>
      </c>
      <c r="G151" s="40">
        <v>2</v>
      </c>
      <c r="H151" s="40">
        <f t="shared" ref="H151:H154" si="6">D151*E151*F151*G151</f>
        <v>33.6</v>
      </c>
      <c r="I151" s="40"/>
      <c r="J151" s="41"/>
    </row>
    <row r="152" spans="1:10" x14ac:dyDescent="0.3">
      <c r="A152" s="37"/>
      <c r="B152" s="42" t="s">
        <v>224</v>
      </c>
      <c r="C152" s="39"/>
      <c r="D152" s="40">
        <v>1.4</v>
      </c>
      <c r="E152" s="40">
        <v>2.1</v>
      </c>
      <c r="F152" s="40">
        <v>1</v>
      </c>
      <c r="G152" s="40">
        <v>2</v>
      </c>
      <c r="H152" s="40">
        <f t="shared" si="6"/>
        <v>5.88</v>
      </c>
      <c r="I152" s="40"/>
      <c r="J152" s="41"/>
    </row>
    <row r="153" spans="1:10" x14ac:dyDescent="0.3">
      <c r="A153" s="37"/>
      <c r="B153" s="42" t="s">
        <v>225</v>
      </c>
      <c r="C153" s="39"/>
      <c r="D153" s="40">
        <v>0.8</v>
      </c>
      <c r="E153" s="40">
        <v>0.6</v>
      </c>
      <c r="F153" s="40">
        <v>7</v>
      </c>
      <c r="G153" s="40">
        <v>2</v>
      </c>
      <c r="H153" s="40">
        <f t="shared" si="6"/>
        <v>6.72</v>
      </c>
      <c r="I153" s="40"/>
      <c r="J153" s="41"/>
    </row>
    <row r="154" spans="1:10" x14ac:dyDescent="0.3">
      <c r="A154" s="37"/>
      <c r="B154" s="42" t="s">
        <v>226</v>
      </c>
      <c r="C154" s="39"/>
      <c r="D154" s="40">
        <v>1.5</v>
      </c>
      <c r="E154" s="40">
        <v>1.1000000000000001</v>
      </c>
      <c r="F154" s="40">
        <v>4</v>
      </c>
      <c r="G154" s="40">
        <v>2</v>
      </c>
      <c r="H154" s="40">
        <f t="shared" si="6"/>
        <v>13.2</v>
      </c>
      <c r="I154" s="40"/>
      <c r="J154" s="41"/>
    </row>
    <row r="155" spans="1:10" x14ac:dyDescent="0.3">
      <c r="A155" s="283" t="s">
        <v>44</v>
      </c>
      <c r="B155" s="284"/>
      <c r="C155" s="284"/>
      <c r="D155" s="284"/>
      <c r="E155" s="284"/>
      <c r="F155" s="284"/>
      <c r="G155" s="285"/>
      <c r="H155" s="40">
        <f>SUM(H117:H148)-SUM(H150:H154)</f>
        <v>607.14</v>
      </c>
      <c r="I155" s="40"/>
      <c r="J155" s="41"/>
    </row>
    <row r="156" spans="1:10" ht="14.4" thickBot="1" x14ac:dyDescent="0.35">
      <c r="A156" s="11"/>
      <c r="B156" s="12"/>
      <c r="C156" s="13"/>
      <c r="D156" s="13"/>
      <c r="E156" s="13"/>
      <c r="F156" s="13"/>
      <c r="G156" s="13"/>
      <c r="H156" s="13"/>
      <c r="I156" s="13"/>
      <c r="J156" s="14"/>
    </row>
    <row r="157" spans="1:10" x14ac:dyDescent="0.3">
      <c r="A157" s="15">
        <v>6</v>
      </c>
      <c r="B157" s="16" t="str">
        <f>VLOOKUP(A157,SINTÉTICO!$A$9:$J$125,4,FALSE)</f>
        <v>ESQUADRIAS</v>
      </c>
      <c r="C157" s="17"/>
      <c r="D157" s="17"/>
      <c r="E157" s="17"/>
      <c r="F157" s="17"/>
      <c r="G157" s="17"/>
      <c r="H157" s="17"/>
      <c r="I157" s="17"/>
      <c r="J157" s="18"/>
    </row>
    <row r="158" spans="1:10" ht="27.6" outlineLevel="1" x14ac:dyDescent="0.3">
      <c r="A158" s="3" t="s">
        <v>22</v>
      </c>
      <c r="B158" s="4" t="s">
        <v>23</v>
      </c>
      <c r="C158" s="4" t="s">
        <v>24</v>
      </c>
      <c r="D158" s="4"/>
      <c r="E158" s="4"/>
      <c r="F158" s="4"/>
      <c r="G158" s="4"/>
      <c r="H158" s="4"/>
      <c r="I158" s="4"/>
      <c r="J158" s="5" t="s">
        <v>25</v>
      </c>
    </row>
    <row r="159" spans="1:10" outlineLevel="1" x14ac:dyDescent="0.3">
      <c r="A159" s="6" t="s">
        <v>194</v>
      </c>
      <c r="B159" s="7" t="str">
        <f>VLOOKUP(A159,SINTÉTICO!$A$9:$J$125,4,FALSE)</f>
        <v>Porta mad. trabalhada c/ caix. aduela e alizar</v>
      </c>
      <c r="C159" s="8" t="str">
        <f>VLOOKUP(A159,SINTÉTICO!$A$9:$J$125,5,FALSE)</f>
        <v>m²</v>
      </c>
      <c r="D159" s="9"/>
      <c r="E159" s="9"/>
      <c r="F159" s="9"/>
      <c r="G159" s="9"/>
      <c r="H159" s="9"/>
      <c r="I159" s="9"/>
      <c r="J159" s="10">
        <f>G164</f>
        <v>24.15</v>
      </c>
    </row>
    <row r="160" spans="1:10" outlineLevel="1" x14ac:dyDescent="0.3">
      <c r="A160" s="43"/>
      <c r="B160" s="44"/>
      <c r="C160" s="45"/>
      <c r="D160" s="45" t="s">
        <v>27</v>
      </c>
      <c r="E160" s="45" t="s">
        <v>43</v>
      </c>
      <c r="F160" s="47" t="s">
        <v>42</v>
      </c>
      <c r="G160" s="45" t="s">
        <v>28</v>
      </c>
      <c r="H160" s="45"/>
      <c r="I160" s="45"/>
      <c r="J160" s="41"/>
    </row>
    <row r="161" spans="1:10" outlineLevel="1" x14ac:dyDescent="0.3">
      <c r="A161" s="37"/>
      <c r="B161" s="42" t="s">
        <v>222</v>
      </c>
      <c r="C161" s="39"/>
      <c r="D161" s="40">
        <v>0.7</v>
      </c>
      <c r="E161" s="40">
        <v>2.1</v>
      </c>
      <c r="F161" s="40">
        <v>3</v>
      </c>
      <c r="G161" s="40">
        <f>D161*E161*F161</f>
        <v>4.41</v>
      </c>
      <c r="H161" s="40"/>
      <c r="I161" s="40"/>
      <c r="J161" s="41"/>
    </row>
    <row r="162" spans="1:10" outlineLevel="1" x14ac:dyDescent="0.3">
      <c r="A162" s="37"/>
      <c r="B162" s="42" t="s">
        <v>223</v>
      </c>
      <c r="C162" s="39"/>
      <c r="D162" s="40">
        <v>0.8</v>
      </c>
      <c r="E162" s="40">
        <v>2.1</v>
      </c>
      <c r="F162" s="40">
        <v>10</v>
      </c>
      <c r="G162" s="40">
        <f t="shared" ref="G162:G163" si="7">D162*E162*F162</f>
        <v>16.8</v>
      </c>
      <c r="H162" s="40"/>
      <c r="I162" s="40"/>
      <c r="J162" s="41"/>
    </row>
    <row r="163" spans="1:10" outlineLevel="1" x14ac:dyDescent="0.3">
      <c r="A163" s="37"/>
      <c r="B163" s="42" t="s">
        <v>224</v>
      </c>
      <c r="C163" s="39"/>
      <c r="D163" s="40">
        <v>1.4</v>
      </c>
      <c r="E163" s="40">
        <v>2.1</v>
      </c>
      <c r="F163" s="40">
        <v>1</v>
      </c>
      <c r="G163" s="40">
        <f t="shared" si="7"/>
        <v>2.94</v>
      </c>
      <c r="H163" s="40"/>
      <c r="I163" s="40"/>
      <c r="J163" s="41"/>
    </row>
    <row r="164" spans="1:10" ht="15" customHeight="1" outlineLevel="1" x14ac:dyDescent="0.3">
      <c r="A164" s="283" t="s">
        <v>44</v>
      </c>
      <c r="B164" s="284"/>
      <c r="C164" s="284"/>
      <c r="D164" s="284"/>
      <c r="E164" s="284"/>
      <c r="F164" s="285"/>
      <c r="G164" s="40">
        <f>SUM(G161:G163)</f>
        <v>24.15</v>
      </c>
      <c r="H164" s="40"/>
      <c r="I164" s="40"/>
      <c r="J164" s="41"/>
    </row>
    <row r="165" spans="1:10" ht="27.6" outlineLevel="1" x14ac:dyDescent="0.3">
      <c r="A165" s="6" t="s">
        <v>195</v>
      </c>
      <c r="B165" s="7" t="str">
        <f>VLOOKUP(A165,SINTÉTICO!$A$9:$J$125,4,FALSE)</f>
        <v>PINTURA TINTA DE ACABAMENTO (PIGMENTADA) ESMALTE SINTÉTICO BRILHANTE EM MADEIRA, 2 DEMÃOS. AF_01/2021</v>
      </c>
      <c r="C165" s="8" t="str">
        <f>VLOOKUP(A165,SINTÉTICO!$A$9:$J$125,5,FALSE)</f>
        <v>m²</v>
      </c>
      <c r="D165" s="9"/>
      <c r="E165" s="9"/>
      <c r="F165" s="9"/>
      <c r="G165" s="9"/>
      <c r="H165" s="9"/>
      <c r="I165" s="9"/>
      <c r="J165" s="10">
        <f>H170</f>
        <v>48.3</v>
      </c>
    </row>
    <row r="166" spans="1:10" outlineLevel="1" x14ac:dyDescent="0.3">
      <c r="A166" s="43"/>
      <c r="B166" s="44"/>
      <c r="C166" s="45"/>
      <c r="D166" s="45" t="s">
        <v>27</v>
      </c>
      <c r="E166" s="45" t="s">
        <v>43</v>
      </c>
      <c r="F166" s="47" t="s">
        <v>42</v>
      </c>
      <c r="G166" s="45" t="s">
        <v>299</v>
      </c>
      <c r="H166" s="45" t="s">
        <v>28</v>
      </c>
      <c r="I166" s="45"/>
      <c r="J166" s="46"/>
    </row>
    <row r="167" spans="1:10" outlineLevel="1" x14ac:dyDescent="0.3">
      <c r="A167" s="37"/>
      <c r="B167" s="42" t="s">
        <v>222</v>
      </c>
      <c r="C167" s="39"/>
      <c r="D167" s="40">
        <v>0.7</v>
      </c>
      <c r="E167" s="40">
        <v>2.1</v>
      </c>
      <c r="F167" s="40">
        <v>3</v>
      </c>
      <c r="G167" s="40">
        <v>2</v>
      </c>
      <c r="H167" s="40">
        <f>D167*E167*F167*G167</f>
        <v>8.82</v>
      </c>
      <c r="I167" s="40"/>
      <c r="J167" s="41"/>
    </row>
    <row r="168" spans="1:10" outlineLevel="1" x14ac:dyDescent="0.3">
      <c r="A168" s="37"/>
      <c r="B168" s="42" t="s">
        <v>223</v>
      </c>
      <c r="C168" s="39"/>
      <c r="D168" s="40">
        <v>0.8</v>
      </c>
      <c r="E168" s="40">
        <v>2.1</v>
      </c>
      <c r="F168" s="40">
        <v>10</v>
      </c>
      <c r="G168" s="40">
        <v>2</v>
      </c>
      <c r="H168" s="40">
        <f t="shared" ref="H168:H169" si="8">D168*E168*F168*G168</f>
        <v>33.6</v>
      </c>
      <c r="I168" s="40"/>
      <c r="J168" s="41"/>
    </row>
    <row r="169" spans="1:10" outlineLevel="1" x14ac:dyDescent="0.3">
      <c r="A169" s="37"/>
      <c r="B169" s="42" t="s">
        <v>224</v>
      </c>
      <c r="C169" s="39"/>
      <c r="D169" s="40">
        <v>1.4</v>
      </c>
      <c r="E169" s="40">
        <v>2.1</v>
      </c>
      <c r="F169" s="40">
        <v>1</v>
      </c>
      <c r="G169" s="40">
        <v>2</v>
      </c>
      <c r="H169" s="40">
        <f t="shared" si="8"/>
        <v>5.88</v>
      </c>
      <c r="I169" s="40"/>
      <c r="J169" s="41"/>
    </row>
    <row r="170" spans="1:10" outlineLevel="1" x14ac:dyDescent="0.3">
      <c r="A170" s="283" t="s">
        <v>44</v>
      </c>
      <c r="B170" s="284"/>
      <c r="C170" s="284"/>
      <c r="D170" s="284"/>
      <c r="E170" s="284"/>
      <c r="F170" s="284"/>
      <c r="G170" s="285"/>
      <c r="H170" s="40">
        <f>SUM(H167:H169)</f>
        <v>48.3</v>
      </c>
      <c r="I170" s="40"/>
      <c r="J170" s="41"/>
    </row>
    <row r="171" spans="1:10" ht="55.2" outlineLevel="1" x14ac:dyDescent="0.3">
      <c r="A171" s="6" t="s">
        <v>196</v>
      </c>
      <c r="B171" s="7" t="str">
        <f>VLOOKUP(A171,SINTÉTICO!$A$9:$J$125,4,FALSE)</f>
        <v>JANELA DE ALUMÍNIO DE CORRER COM 2 FOLHAS PARA VIDROS, COM VIDROS, BATENTE, ACABAMENTO COM ACETATO OU BRILHANTE E FERRAGENS. EXCLUSIVE ALIZAR E CONTRAMARCO. FORNECIMENTO E INSTALAÇÃO. AF_12/2019</v>
      </c>
      <c r="C171" s="8" t="str">
        <f>VLOOKUP(A171,SINTÉTICO!$A$9:$J$125,5,FALSE)</f>
        <v>m²</v>
      </c>
      <c r="D171" s="9"/>
      <c r="E171" s="9"/>
      <c r="F171" s="9"/>
      <c r="G171" s="9"/>
      <c r="H171" s="9"/>
      <c r="I171" s="9"/>
      <c r="J171" s="10">
        <f>G175</f>
        <v>9.9600000000000009</v>
      </c>
    </row>
    <row r="172" spans="1:10" outlineLevel="1" x14ac:dyDescent="0.3">
      <c r="A172" s="37"/>
      <c r="B172" s="42"/>
      <c r="C172" s="39"/>
      <c r="D172" s="45" t="s">
        <v>27</v>
      </c>
      <c r="E172" s="45" t="s">
        <v>43</v>
      </c>
      <c r="F172" s="47" t="s">
        <v>42</v>
      </c>
      <c r="G172" s="40" t="s">
        <v>28</v>
      </c>
      <c r="H172" s="40"/>
      <c r="I172" s="40"/>
      <c r="J172" s="41"/>
    </row>
    <row r="173" spans="1:10" outlineLevel="1" x14ac:dyDescent="0.3">
      <c r="A173" s="37"/>
      <c r="B173" s="42" t="s">
        <v>225</v>
      </c>
      <c r="C173" s="39"/>
      <c r="D173" s="40">
        <v>0.8</v>
      </c>
      <c r="E173" s="40">
        <v>0.6</v>
      </c>
      <c r="F173" s="40">
        <v>7</v>
      </c>
      <c r="G173" s="40">
        <f>D173*E173*F173</f>
        <v>3.36</v>
      </c>
      <c r="H173" s="40"/>
      <c r="I173" s="40"/>
      <c r="J173" s="41"/>
    </row>
    <row r="174" spans="1:10" outlineLevel="1" x14ac:dyDescent="0.3">
      <c r="A174" s="37"/>
      <c r="B174" s="42" t="s">
        <v>226</v>
      </c>
      <c r="C174" s="39"/>
      <c r="D174" s="40">
        <v>1.5</v>
      </c>
      <c r="E174" s="40">
        <v>1.1000000000000001</v>
      </c>
      <c r="F174" s="40">
        <v>4</v>
      </c>
      <c r="G174" s="40">
        <f>D174*E174*F174</f>
        <v>6.6</v>
      </c>
      <c r="H174" s="40"/>
      <c r="I174" s="40"/>
      <c r="J174" s="41"/>
    </row>
    <row r="175" spans="1:10" outlineLevel="1" x14ac:dyDescent="0.3">
      <c r="A175" s="283" t="s">
        <v>44</v>
      </c>
      <c r="B175" s="284"/>
      <c r="C175" s="284"/>
      <c r="D175" s="284"/>
      <c r="E175" s="284"/>
      <c r="F175" s="285"/>
      <c r="G175" s="40">
        <f>SUM(G173:G174)</f>
        <v>9.9600000000000009</v>
      </c>
      <c r="H175" s="40"/>
      <c r="I175" s="40"/>
      <c r="J175" s="41"/>
    </row>
    <row r="176" spans="1:10" ht="14.4" thickBot="1" x14ac:dyDescent="0.35">
      <c r="A176" s="11"/>
      <c r="B176" s="12"/>
      <c r="C176" s="13"/>
      <c r="D176" s="13"/>
      <c r="E176" s="13"/>
      <c r="F176" s="13"/>
      <c r="G176" s="13"/>
      <c r="H176" s="13"/>
      <c r="I176" s="13"/>
      <c r="J176" s="14"/>
    </row>
    <row r="177" spans="1:10" x14ac:dyDescent="0.3">
      <c r="A177" s="15">
        <v>7</v>
      </c>
      <c r="B177" s="16" t="str">
        <f>VLOOKUP(A177,SINTÉTICO!$A$9:$J$125,4,FALSE)</f>
        <v>FORRO E COBERTURA</v>
      </c>
      <c r="C177" s="17"/>
      <c r="D177" s="17"/>
      <c r="E177" s="17"/>
      <c r="F177" s="17"/>
      <c r="G177" s="17"/>
      <c r="H177" s="17"/>
      <c r="I177" s="17"/>
      <c r="J177" s="18"/>
    </row>
    <row r="178" spans="1:10" ht="27.6" outlineLevel="1" x14ac:dyDescent="0.3">
      <c r="A178" s="3" t="s">
        <v>22</v>
      </c>
      <c r="B178" s="4" t="s">
        <v>23</v>
      </c>
      <c r="C178" s="4" t="s">
        <v>24</v>
      </c>
      <c r="D178" s="4"/>
      <c r="E178" s="4"/>
      <c r="F178" s="4"/>
      <c r="G178" s="4"/>
      <c r="H178" s="4"/>
      <c r="I178" s="4"/>
      <c r="J178" s="5" t="s">
        <v>25</v>
      </c>
    </row>
    <row r="179" spans="1:10" ht="27.6" outlineLevel="1" x14ac:dyDescent="0.3">
      <c r="A179" s="6" t="s">
        <v>127</v>
      </c>
      <c r="B179" s="7" t="str">
        <f>VLOOKUP(A179,SINTÉTICO!$A$9:$J$125,4,FALSE)</f>
        <v>FORRO EM RÉGUAS DE PVC, FRISADO, PARA AMBIENTES RESIDENCIAIS, INCLUSIVE ESTRUTURA DE FIXAÇÃO. AF_05/2017_P</v>
      </c>
      <c r="C179" s="8" t="str">
        <f>VLOOKUP(A179,SINTÉTICO!$A$9:$J$125,5,FALSE)</f>
        <v>m²</v>
      </c>
      <c r="D179" s="9"/>
      <c r="E179" s="9"/>
      <c r="F179" s="9"/>
      <c r="G179" s="9"/>
      <c r="H179" s="9"/>
      <c r="I179" s="9"/>
      <c r="J179" s="10">
        <f>D196</f>
        <v>107.1</v>
      </c>
    </row>
    <row r="180" spans="1:10" outlineLevel="1" x14ac:dyDescent="0.3">
      <c r="A180" s="43"/>
      <c r="B180" s="44"/>
      <c r="C180" s="45"/>
      <c r="D180" s="45" t="s">
        <v>28</v>
      </c>
      <c r="E180" s="45"/>
      <c r="F180" s="45"/>
      <c r="G180" s="45"/>
      <c r="H180" s="45"/>
      <c r="I180" s="45"/>
      <c r="J180" s="46"/>
    </row>
    <row r="181" spans="1:10" outlineLevel="1" x14ac:dyDescent="0.3">
      <c r="A181" s="37"/>
      <c r="B181" s="42" t="s">
        <v>1</v>
      </c>
      <c r="C181" s="39"/>
      <c r="D181" s="40">
        <v>15.56</v>
      </c>
      <c r="E181" s="40"/>
      <c r="F181" s="40"/>
      <c r="G181" s="40"/>
      <c r="H181" s="40"/>
      <c r="I181" s="40"/>
      <c r="J181" s="41"/>
    </row>
    <row r="182" spans="1:10" outlineLevel="1" x14ac:dyDescent="0.3">
      <c r="A182" s="37"/>
      <c r="B182" s="42" t="s">
        <v>0</v>
      </c>
      <c r="C182" s="39"/>
      <c r="D182" s="40">
        <v>7.63</v>
      </c>
      <c r="E182" s="40"/>
      <c r="F182" s="40"/>
      <c r="G182" s="40"/>
      <c r="H182" s="40"/>
      <c r="I182" s="40"/>
      <c r="J182" s="41"/>
    </row>
    <row r="183" spans="1:10" outlineLevel="1" x14ac:dyDescent="0.3">
      <c r="A183" s="37"/>
      <c r="B183" s="42" t="s">
        <v>216</v>
      </c>
      <c r="C183" s="39"/>
      <c r="D183" s="40">
        <v>3.53</v>
      </c>
      <c r="E183" s="40"/>
      <c r="F183" s="40"/>
      <c r="G183" s="40"/>
      <c r="H183" s="40"/>
      <c r="I183" s="40"/>
      <c r="J183" s="41"/>
    </row>
    <row r="184" spans="1:10" outlineLevel="1" x14ac:dyDescent="0.3">
      <c r="A184" s="37"/>
      <c r="B184" s="42" t="s">
        <v>2</v>
      </c>
      <c r="C184" s="39"/>
      <c r="D184" s="40">
        <v>3.53</v>
      </c>
      <c r="E184" s="40"/>
      <c r="F184" s="40"/>
      <c r="G184" s="40"/>
      <c r="H184" s="40"/>
      <c r="I184" s="40"/>
      <c r="J184" s="41"/>
    </row>
    <row r="185" spans="1:10" outlineLevel="1" x14ac:dyDescent="0.3">
      <c r="A185" s="37"/>
      <c r="B185" s="42" t="s">
        <v>4</v>
      </c>
      <c r="C185" s="39"/>
      <c r="D185" s="40">
        <v>9</v>
      </c>
      <c r="E185" s="40"/>
      <c r="F185" s="40"/>
      <c r="G185" s="40"/>
      <c r="H185" s="40"/>
      <c r="I185" s="40"/>
      <c r="J185" s="41"/>
    </row>
    <row r="186" spans="1:10" outlineLevel="1" x14ac:dyDescent="0.3">
      <c r="A186" s="37"/>
      <c r="B186" s="42" t="s">
        <v>3</v>
      </c>
      <c r="C186" s="39"/>
      <c r="D186" s="40">
        <v>12.04</v>
      </c>
      <c r="E186" s="40"/>
      <c r="F186" s="40"/>
      <c r="G186" s="40"/>
      <c r="H186" s="40"/>
      <c r="I186" s="40"/>
      <c r="J186" s="41"/>
    </row>
    <row r="187" spans="1:10" outlineLevel="1" x14ac:dyDescent="0.3">
      <c r="A187" s="37"/>
      <c r="B187" s="42" t="s">
        <v>217</v>
      </c>
      <c r="C187" s="39"/>
      <c r="D187" s="40">
        <v>6</v>
      </c>
      <c r="E187" s="40"/>
      <c r="F187" s="40"/>
      <c r="G187" s="40"/>
      <c r="H187" s="40"/>
      <c r="I187" s="40"/>
      <c r="J187" s="41"/>
    </row>
    <row r="188" spans="1:10" outlineLevel="1" x14ac:dyDescent="0.3">
      <c r="A188" s="37"/>
      <c r="B188" s="42" t="s">
        <v>6</v>
      </c>
      <c r="C188" s="39"/>
      <c r="D188" s="40">
        <v>9</v>
      </c>
      <c r="E188" s="40"/>
      <c r="F188" s="40"/>
      <c r="G188" s="40"/>
      <c r="H188" s="40"/>
      <c r="I188" s="40"/>
      <c r="J188" s="41"/>
    </row>
    <row r="189" spans="1:10" outlineLevel="1" x14ac:dyDescent="0.3">
      <c r="A189" s="37"/>
      <c r="B189" s="42" t="s">
        <v>5</v>
      </c>
      <c r="C189" s="39"/>
      <c r="D189" s="40">
        <v>13.2</v>
      </c>
      <c r="E189" s="40"/>
      <c r="F189" s="40"/>
      <c r="G189" s="40"/>
      <c r="H189" s="40"/>
      <c r="I189" s="40"/>
      <c r="J189" s="41"/>
    </row>
    <row r="190" spans="1:10" outlineLevel="1" x14ac:dyDescent="0.3">
      <c r="A190" s="37"/>
      <c r="B190" s="42" t="s">
        <v>10</v>
      </c>
      <c r="C190" s="39"/>
      <c r="D190" s="40">
        <v>2.2799999999999998</v>
      </c>
      <c r="E190" s="40"/>
      <c r="F190" s="40"/>
      <c r="G190" s="40"/>
      <c r="H190" s="40"/>
      <c r="I190" s="40"/>
      <c r="J190" s="41"/>
    </row>
    <row r="191" spans="1:10" outlineLevel="1" x14ac:dyDescent="0.3">
      <c r="A191" s="37"/>
      <c r="B191" s="42" t="s">
        <v>11</v>
      </c>
      <c r="C191" s="39"/>
      <c r="D191" s="40">
        <v>6.27</v>
      </c>
      <c r="E191" s="40"/>
      <c r="F191" s="40"/>
      <c r="G191" s="40"/>
      <c r="H191" s="40"/>
      <c r="I191" s="40"/>
      <c r="J191" s="41"/>
    </row>
    <row r="192" spans="1:10" outlineLevel="1" x14ac:dyDescent="0.3">
      <c r="A192" s="37"/>
      <c r="B192" s="42" t="s">
        <v>8</v>
      </c>
      <c r="C192" s="39"/>
      <c r="D192" s="40">
        <v>2.87</v>
      </c>
      <c r="E192" s="40"/>
      <c r="F192" s="40"/>
      <c r="G192" s="40"/>
      <c r="H192" s="40"/>
      <c r="I192" s="40"/>
      <c r="J192" s="41"/>
    </row>
    <row r="193" spans="1:10" outlineLevel="1" x14ac:dyDescent="0.3">
      <c r="A193" s="37"/>
      <c r="B193" s="42" t="s">
        <v>9</v>
      </c>
      <c r="C193" s="39"/>
      <c r="D193" s="40">
        <v>4.55</v>
      </c>
      <c r="E193" s="40"/>
      <c r="F193" s="40"/>
      <c r="G193" s="40"/>
      <c r="H193" s="40"/>
      <c r="I193" s="40"/>
      <c r="J193" s="41"/>
    </row>
    <row r="194" spans="1:10" outlineLevel="1" x14ac:dyDescent="0.3">
      <c r="A194" s="37"/>
      <c r="B194" s="42" t="s">
        <v>218</v>
      </c>
      <c r="C194" s="39"/>
      <c r="D194" s="40">
        <v>1.21</v>
      </c>
      <c r="E194" s="40"/>
      <c r="F194" s="40"/>
      <c r="G194" s="40"/>
      <c r="H194" s="40"/>
      <c r="I194" s="40"/>
      <c r="J194" s="41"/>
    </row>
    <row r="195" spans="1:10" outlineLevel="1" x14ac:dyDescent="0.3">
      <c r="A195" s="37"/>
      <c r="B195" s="42" t="s">
        <v>7</v>
      </c>
      <c r="C195" s="39"/>
      <c r="D195" s="40">
        <v>10.43</v>
      </c>
      <c r="E195" s="40"/>
      <c r="F195" s="40"/>
      <c r="G195" s="40"/>
      <c r="H195" s="40"/>
      <c r="I195" s="40"/>
      <c r="J195" s="41"/>
    </row>
    <row r="196" spans="1:10" outlineLevel="1" x14ac:dyDescent="0.3">
      <c r="A196" s="283" t="s">
        <v>44</v>
      </c>
      <c r="B196" s="284"/>
      <c r="C196" s="285"/>
      <c r="D196" s="40">
        <f>SUM(D181:D195)</f>
        <v>107.1</v>
      </c>
      <c r="E196" s="40"/>
      <c r="F196" s="40"/>
      <c r="G196" s="40"/>
      <c r="H196" s="40"/>
      <c r="I196" s="40"/>
      <c r="J196" s="41"/>
    </row>
    <row r="197" spans="1:10" ht="27.6" outlineLevel="1" x14ac:dyDescent="0.3">
      <c r="A197" s="6" t="s">
        <v>128</v>
      </c>
      <c r="B197" s="7" t="str">
        <f>VLOOKUP(A197,SINTÉTICO!$A$9:$J$125,4,FALSE)</f>
        <v>ACABAMENTOS PARA FORRO (RODA-FORRO EM PERFIL METÁLICO E PLÁSTICO). AF_05/2017</v>
      </c>
      <c r="C197" s="8" t="str">
        <f>VLOOKUP(A197,SINTÉTICO!$A$9:$J$125,5,FALSE)</f>
        <v>M</v>
      </c>
      <c r="D197" s="9"/>
      <c r="E197" s="9"/>
      <c r="F197" s="9"/>
      <c r="G197" s="9"/>
      <c r="H197" s="9"/>
      <c r="I197" s="9"/>
      <c r="J197" s="10">
        <f>D214</f>
        <v>161</v>
      </c>
    </row>
    <row r="198" spans="1:10" outlineLevel="1" x14ac:dyDescent="0.3">
      <c r="A198" s="43"/>
      <c r="B198" s="44"/>
      <c r="C198" s="45"/>
      <c r="D198" s="45" t="s">
        <v>215</v>
      </c>
      <c r="E198" s="45"/>
      <c r="F198" s="47"/>
      <c r="G198" s="45"/>
      <c r="H198" s="45"/>
      <c r="I198" s="45"/>
      <c r="J198" s="46"/>
    </row>
    <row r="199" spans="1:10" outlineLevel="1" x14ac:dyDescent="0.3">
      <c r="A199" s="37"/>
      <c r="B199" s="42" t="s">
        <v>1</v>
      </c>
      <c r="C199" s="39"/>
      <c r="D199" s="40">
        <v>15.1</v>
      </c>
      <c r="E199" s="40"/>
      <c r="F199" s="40"/>
      <c r="G199" s="40"/>
      <c r="H199" s="40"/>
      <c r="I199" s="40"/>
      <c r="J199" s="41"/>
    </row>
    <row r="200" spans="1:10" outlineLevel="1" x14ac:dyDescent="0.3">
      <c r="A200" s="37"/>
      <c r="B200" s="42" t="s">
        <v>0</v>
      </c>
      <c r="C200" s="39"/>
      <c r="D200" s="40">
        <v>11.1</v>
      </c>
      <c r="E200" s="40"/>
      <c r="F200" s="40"/>
      <c r="G200" s="40"/>
      <c r="H200" s="40"/>
      <c r="I200" s="40"/>
      <c r="J200" s="41"/>
    </row>
    <row r="201" spans="1:10" outlineLevel="1" x14ac:dyDescent="0.3">
      <c r="A201" s="37"/>
      <c r="B201" s="42" t="s">
        <v>216</v>
      </c>
      <c r="C201" s="39"/>
      <c r="D201" s="40">
        <v>7.7</v>
      </c>
      <c r="E201" s="40"/>
      <c r="F201" s="40"/>
      <c r="G201" s="40"/>
      <c r="H201" s="40"/>
      <c r="I201" s="40"/>
      <c r="J201" s="41"/>
    </row>
    <row r="202" spans="1:10" outlineLevel="1" x14ac:dyDescent="0.3">
      <c r="A202" s="37"/>
      <c r="B202" s="42" t="s">
        <v>2</v>
      </c>
      <c r="C202" s="39"/>
      <c r="D202" s="40">
        <v>7.7</v>
      </c>
      <c r="E202" s="40"/>
      <c r="F202" s="40"/>
      <c r="G202" s="40"/>
      <c r="H202" s="40"/>
      <c r="I202" s="40"/>
      <c r="J202" s="41"/>
    </row>
    <row r="203" spans="1:10" outlineLevel="1" x14ac:dyDescent="0.3">
      <c r="A203" s="37"/>
      <c r="B203" s="42" t="s">
        <v>4</v>
      </c>
      <c r="C203" s="39"/>
      <c r="D203" s="40">
        <v>12.5</v>
      </c>
      <c r="E203" s="40"/>
      <c r="F203" s="40"/>
      <c r="G203" s="40"/>
      <c r="H203" s="40"/>
      <c r="I203" s="40"/>
      <c r="J203" s="41"/>
    </row>
    <row r="204" spans="1:10" outlineLevel="1" x14ac:dyDescent="0.3">
      <c r="A204" s="37"/>
      <c r="B204" s="42" t="s">
        <v>3</v>
      </c>
      <c r="C204" s="39"/>
      <c r="D204" s="40">
        <v>14.39</v>
      </c>
      <c r="E204" s="40"/>
      <c r="F204" s="40"/>
      <c r="G204" s="40"/>
      <c r="H204" s="40"/>
      <c r="I204" s="40"/>
      <c r="J204" s="41"/>
    </row>
    <row r="205" spans="1:10" outlineLevel="1" x14ac:dyDescent="0.3">
      <c r="A205" s="37"/>
      <c r="B205" s="42" t="s">
        <v>217</v>
      </c>
      <c r="C205" s="39"/>
      <c r="D205" s="40">
        <v>11</v>
      </c>
      <c r="E205" s="40"/>
      <c r="F205" s="40"/>
      <c r="G205" s="40"/>
      <c r="H205" s="40"/>
      <c r="I205" s="40"/>
      <c r="J205" s="41"/>
    </row>
    <row r="206" spans="1:10" outlineLevel="1" x14ac:dyDescent="0.3">
      <c r="A206" s="37"/>
      <c r="B206" s="42" t="s">
        <v>6</v>
      </c>
      <c r="C206" s="39"/>
      <c r="D206" s="40">
        <v>12.5</v>
      </c>
      <c r="E206" s="40"/>
      <c r="F206" s="40"/>
      <c r="G206" s="40"/>
      <c r="H206" s="40"/>
      <c r="I206" s="40"/>
      <c r="J206" s="41"/>
    </row>
    <row r="207" spans="1:10" outlineLevel="1" x14ac:dyDescent="0.3">
      <c r="A207" s="37"/>
      <c r="B207" s="42" t="s">
        <v>5</v>
      </c>
      <c r="C207" s="39"/>
      <c r="D207" s="40">
        <v>14.9</v>
      </c>
      <c r="E207" s="40"/>
      <c r="F207" s="40"/>
      <c r="G207" s="40"/>
      <c r="H207" s="40"/>
      <c r="I207" s="40"/>
      <c r="J207" s="41"/>
    </row>
    <row r="208" spans="1:10" outlineLevel="1" x14ac:dyDescent="0.3">
      <c r="A208" s="37"/>
      <c r="B208" s="42" t="s">
        <v>10</v>
      </c>
      <c r="C208" s="39"/>
      <c r="D208" s="40">
        <v>6.2</v>
      </c>
      <c r="E208" s="40"/>
      <c r="F208" s="40"/>
      <c r="G208" s="40"/>
      <c r="H208" s="40"/>
      <c r="I208" s="40"/>
      <c r="J208" s="41"/>
    </row>
    <row r="209" spans="1:10" outlineLevel="1" x14ac:dyDescent="0.3">
      <c r="A209" s="37"/>
      <c r="B209" s="42" t="s">
        <v>11</v>
      </c>
      <c r="C209" s="39"/>
      <c r="D209" s="40">
        <v>10.4</v>
      </c>
      <c r="E209" s="40"/>
      <c r="F209" s="40"/>
      <c r="G209" s="40"/>
      <c r="H209" s="40"/>
      <c r="I209" s="40"/>
      <c r="J209" s="41"/>
    </row>
    <row r="210" spans="1:10" outlineLevel="1" x14ac:dyDescent="0.3">
      <c r="A210" s="37"/>
      <c r="B210" s="42" t="s">
        <v>8</v>
      </c>
      <c r="C210" s="39"/>
      <c r="D210" s="40">
        <v>7.1</v>
      </c>
      <c r="E210" s="40"/>
      <c r="F210" s="40"/>
      <c r="G210" s="40"/>
      <c r="H210" s="40"/>
      <c r="I210" s="40"/>
      <c r="J210" s="41"/>
    </row>
    <row r="211" spans="1:10" outlineLevel="1" x14ac:dyDescent="0.3">
      <c r="A211" s="37"/>
      <c r="B211" s="42" t="s">
        <v>9</v>
      </c>
      <c r="C211" s="39"/>
      <c r="D211" s="40">
        <v>9.6999999999999993</v>
      </c>
      <c r="E211" s="40"/>
      <c r="F211" s="40"/>
      <c r="G211" s="40"/>
      <c r="H211" s="40"/>
      <c r="I211" s="40"/>
      <c r="J211" s="41"/>
    </row>
    <row r="212" spans="1:10" outlineLevel="1" x14ac:dyDescent="0.3">
      <c r="A212" s="37"/>
      <c r="B212" s="42" t="s">
        <v>218</v>
      </c>
      <c r="C212" s="39"/>
      <c r="D212" s="40">
        <v>4.41</v>
      </c>
      <c r="E212" s="40"/>
      <c r="F212" s="40"/>
      <c r="G212" s="40"/>
      <c r="H212" s="40"/>
      <c r="I212" s="40"/>
      <c r="J212" s="41"/>
    </row>
    <row r="213" spans="1:10" outlineLevel="1" x14ac:dyDescent="0.3">
      <c r="A213" s="37"/>
      <c r="B213" s="42" t="s">
        <v>7</v>
      </c>
      <c r="C213" s="39"/>
      <c r="D213" s="40">
        <v>16.3</v>
      </c>
      <c r="E213" s="40"/>
      <c r="F213" s="40"/>
      <c r="G213" s="40"/>
      <c r="H213" s="40"/>
      <c r="I213" s="40"/>
      <c r="J213" s="41"/>
    </row>
    <row r="214" spans="1:10" outlineLevel="1" x14ac:dyDescent="0.3">
      <c r="A214" s="283" t="s">
        <v>44</v>
      </c>
      <c r="B214" s="284"/>
      <c r="C214" s="285"/>
      <c r="D214" s="40">
        <f>SUM(D199:D213)</f>
        <v>161</v>
      </c>
      <c r="E214" s="40"/>
      <c r="F214" s="40"/>
      <c r="G214" s="40"/>
      <c r="H214" s="40"/>
      <c r="I214" s="40"/>
      <c r="J214" s="41"/>
    </row>
    <row r="215" spans="1:10" ht="55.2" outlineLevel="1" x14ac:dyDescent="0.3">
      <c r="A215" s="6" t="s">
        <v>129</v>
      </c>
      <c r="B215" s="7" t="str">
        <f>VLOOKUP(A215,SINTÉTICO!$A$9:$J$125,4,FALSE)</f>
        <v>TRAMA DE MADEIRA COMPOSTA POR TERÇAS PARA TELHADOS DE ATÉ 2 ÁGUAS PARA TELHA ONDULADA DE FIBROCIMENTO, METÁLICA, PLÁSTICA OU TERMOACÚSTICA, INCLUSO TRANSPORTE VERTICAL. AF_07/2019</v>
      </c>
      <c r="C215" s="8" t="str">
        <f>VLOOKUP(A215,SINTÉTICO!$A$9:$J$125,5,FALSE)</f>
        <v>m²</v>
      </c>
      <c r="D215" s="9"/>
      <c r="E215" s="9"/>
      <c r="F215" s="9"/>
      <c r="G215" s="9"/>
      <c r="H215" s="9"/>
      <c r="I215" s="9"/>
      <c r="J215" s="10">
        <f>F222</f>
        <v>155.16</v>
      </c>
    </row>
    <row r="216" spans="1:10" ht="27.6" outlineLevel="1" x14ac:dyDescent="0.3">
      <c r="A216" s="6" t="s">
        <v>130</v>
      </c>
      <c r="B216" s="7" t="str">
        <f>VLOOKUP(A216,SINTÉTICO!$A$9:$J$125,4,FALSE)</f>
        <v>TELHAMENTO COM TELHA DE AÇO/ALUMÍNIO E = 0,5 MM, COM ATÉ 2 ÁGUAS, INCLUSO IÇAMENTO. AF_07/2019</v>
      </c>
      <c r="C216" s="8" t="str">
        <f>VLOOKUP(A216,SINTÉTICO!$A$9:$J$125,5,FALSE)</f>
        <v>m²</v>
      </c>
      <c r="D216" s="9"/>
      <c r="E216" s="9"/>
      <c r="F216" s="9"/>
      <c r="G216" s="9"/>
      <c r="H216" s="9"/>
      <c r="I216" s="9"/>
      <c r="J216" s="10">
        <f>F222</f>
        <v>155.16</v>
      </c>
    </row>
    <row r="217" spans="1:10" outlineLevel="1" x14ac:dyDescent="0.3">
      <c r="A217" s="43"/>
      <c r="B217" s="44"/>
      <c r="C217" s="45"/>
      <c r="D217" s="45" t="s">
        <v>27</v>
      </c>
      <c r="E217" s="45" t="s">
        <v>43</v>
      </c>
      <c r="F217" s="45" t="s">
        <v>28</v>
      </c>
      <c r="G217" s="45"/>
      <c r="H217" s="45"/>
      <c r="I217" s="45"/>
      <c r="J217" s="46"/>
    </row>
    <row r="218" spans="1:10" outlineLevel="1" x14ac:dyDescent="0.3">
      <c r="A218" s="37"/>
      <c r="B218" s="286" t="s">
        <v>219</v>
      </c>
      <c r="C218" s="39" t="s">
        <v>221</v>
      </c>
      <c r="D218" s="40">
        <v>11.7</v>
      </c>
      <c r="E218" s="40">
        <v>5.74</v>
      </c>
      <c r="F218" s="40">
        <f>D218*E218</f>
        <v>67.16</v>
      </c>
      <c r="G218" s="40"/>
      <c r="H218" s="40"/>
      <c r="I218" s="40"/>
      <c r="J218" s="41"/>
    </row>
    <row r="219" spans="1:10" outlineLevel="1" x14ac:dyDescent="0.3">
      <c r="A219" s="37"/>
      <c r="B219" s="287"/>
      <c r="C219" s="39" t="s">
        <v>221</v>
      </c>
      <c r="D219" s="40">
        <v>2.5</v>
      </c>
      <c r="E219" s="40">
        <v>4.0199999999999996</v>
      </c>
      <c r="F219" s="40">
        <f t="shared" ref="F219:F221" si="9">D219*E219</f>
        <v>10.050000000000001</v>
      </c>
      <c r="G219" s="40"/>
      <c r="H219" s="40"/>
      <c r="I219" s="40"/>
      <c r="J219" s="41"/>
    </row>
    <row r="220" spans="1:10" outlineLevel="1" x14ac:dyDescent="0.3">
      <c r="A220" s="37"/>
      <c r="B220" s="286" t="s">
        <v>220</v>
      </c>
      <c r="C220" s="39" t="s">
        <v>221</v>
      </c>
      <c r="D220" s="40">
        <v>13.15</v>
      </c>
      <c r="E220" s="40">
        <v>5.74</v>
      </c>
      <c r="F220" s="40">
        <f t="shared" si="9"/>
        <v>75.48</v>
      </c>
      <c r="G220" s="40"/>
      <c r="H220" s="40"/>
      <c r="I220" s="40"/>
      <c r="J220" s="41"/>
    </row>
    <row r="221" spans="1:10" outlineLevel="1" x14ac:dyDescent="0.3">
      <c r="A221" s="37"/>
      <c r="B221" s="287"/>
      <c r="C221" s="39" t="s">
        <v>221</v>
      </c>
      <c r="D221" s="40">
        <v>1.05</v>
      </c>
      <c r="E221" s="40">
        <v>2.35</v>
      </c>
      <c r="F221" s="40">
        <f t="shared" si="9"/>
        <v>2.4700000000000002</v>
      </c>
      <c r="G221" s="40"/>
      <c r="H221" s="40"/>
      <c r="I221" s="40"/>
      <c r="J221" s="41"/>
    </row>
    <row r="222" spans="1:10" outlineLevel="1" x14ac:dyDescent="0.3">
      <c r="A222" s="283" t="s">
        <v>44</v>
      </c>
      <c r="B222" s="284"/>
      <c r="C222" s="284"/>
      <c r="D222" s="284"/>
      <c r="E222" s="285"/>
      <c r="F222" s="40">
        <f>SUM(F218:F221)</f>
        <v>155.16</v>
      </c>
      <c r="G222" s="40"/>
      <c r="H222" s="40"/>
      <c r="I222" s="40"/>
      <c r="J222" s="41"/>
    </row>
    <row r="223" spans="1:10" ht="14.4" thickBot="1" x14ac:dyDescent="0.35">
      <c r="A223" s="11"/>
      <c r="B223" s="12"/>
      <c r="C223" s="13"/>
      <c r="D223" s="13"/>
      <c r="E223" s="13"/>
      <c r="F223" s="13"/>
      <c r="G223" s="13"/>
      <c r="H223" s="13"/>
      <c r="I223" s="13"/>
      <c r="J223" s="14"/>
    </row>
    <row r="224" spans="1:10" x14ac:dyDescent="0.3">
      <c r="A224" s="15">
        <v>8</v>
      </c>
      <c r="B224" s="16" t="str">
        <f>VLOOKUP(A224,SINTÉTICO!$A$9:$J$125,4,FALSE)</f>
        <v>INSTALAÇÕES HIDROSSANITÁRIAS</v>
      </c>
      <c r="C224" s="17"/>
      <c r="D224" s="17"/>
      <c r="E224" s="17"/>
      <c r="F224" s="17"/>
      <c r="G224" s="17"/>
      <c r="H224" s="17"/>
      <c r="I224" s="17"/>
      <c r="J224" s="18"/>
    </row>
    <row r="225" spans="1:10" s="30" customFormat="1" x14ac:dyDescent="0.3">
      <c r="A225" s="26" t="s">
        <v>131</v>
      </c>
      <c r="B225" s="27" t="str">
        <f>VLOOKUP(A225,SINTÉTICO!$A$9:$J$125,4,FALSE)</f>
        <v>LOUÇAS E EQUIPAMENTOS</v>
      </c>
      <c r="C225" s="28"/>
      <c r="D225" s="28"/>
      <c r="E225" s="28"/>
      <c r="F225" s="28"/>
      <c r="G225" s="28"/>
      <c r="H225" s="28"/>
      <c r="I225" s="28"/>
      <c r="J225" s="29"/>
    </row>
    <row r="226" spans="1:10" s="30" customFormat="1" ht="27.6" outlineLevel="1" x14ac:dyDescent="0.3">
      <c r="A226" s="31" t="s">
        <v>22</v>
      </c>
      <c r="B226" s="32" t="s">
        <v>23</v>
      </c>
      <c r="C226" s="32" t="s">
        <v>24</v>
      </c>
      <c r="D226" s="32" t="s">
        <v>193</v>
      </c>
      <c r="E226" s="32"/>
      <c r="F226" s="32"/>
      <c r="G226" s="32"/>
      <c r="H226" s="32"/>
      <c r="I226" s="32"/>
      <c r="J226" s="33" t="s">
        <v>25</v>
      </c>
    </row>
    <row r="227" spans="1:10" ht="27.6" outlineLevel="1" x14ac:dyDescent="0.3">
      <c r="A227" s="6" t="s">
        <v>132</v>
      </c>
      <c r="B227" s="7" t="str">
        <f>VLOOKUP(A227,SINTÉTICO!$A$9:$J$125,4,FALSE)</f>
        <v>VASO SANITÁRIO SIFONADO COM CAIXA ACOPLADA LOUÇA BRANCA - FORNECIMENTO E INSTALAÇÃO. AF_01/2020</v>
      </c>
      <c r="C227" s="8" t="str">
        <f>VLOOKUP(A227,SINTÉTICO!$A$9:$J$125,5,FALSE)</f>
        <v>UN</v>
      </c>
      <c r="D227" s="9">
        <v>4</v>
      </c>
      <c r="E227" s="9"/>
      <c r="F227" s="9"/>
      <c r="G227" s="9"/>
      <c r="H227" s="9"/>
      <c r="I227" s="9"/>
      <c r="J227" s="10">
        <f>D227</f>
        <v>4</v>
      </c>
    </row>
    <row r="228" spans="1:10" outlineLevel="1" x14ac:dyDescent="0.3">
      <c r="A228" s="6" t="s">
        <v>133</v>
      </c>
      <c r="B228" s="7" t="str">
        <f>VLOOKUP(A228,SINTÉTICO!$A$9:$J$125,4,FALSE)</f>
        <v>Ducha higienica cromada</v>
      </c>
      <c r="C228" s="8" t="str">
        <f>VLOOKUP(A228,SINTÉTICO!$A$9:$J$125,5,FALSE)</f>
        <v>UN</v>
      </c>
      <c r="D228" s="9">
        <v>4</v>
      </c>
      <c r="E228" s="9"/>
      <c r="F228" s="9"/>
      <c r="G228" s="9"/>
      <c r="H228" s="9"/>
      <c r="I228" s="9"/>
      <c r="J228" s="10">
        <f t="shared" ref="J228" si="10">D228</f>
        <v>4</v>
      </c>
    </row>
    <row r="229" spans="1:10" outlineLevel="1" x14ac:dyDescent="0.3">
      <c r="A229" s="6" t="s">
        <v>134</v>
      </c>
      <c r="B229" s="7" t="str">
        <f>VLOOKUP(A229,SINTÉTICO!$A$9:$J$125,4,FALSE)</f>
        <v>Porta papel higiênico - Polipropileno</v>
      </c>
      <c r="C229" s="8" t="str">
        <f>VLOOKUP(A229,SINTÉTICO!$A$9:$J$125,5,FALSE)</f>
        <v>UN</v>
      </c>
      <c r="D229" s="9">
        <v>4</v>
      </c>
      <c r="E229" s="9"/>
      <c r="F229" s="9"/>
      <c r="G229" s="9"/>
      <c r="H229" s="9"/>
      <c r="I229" s="9"/>
      <c r="J229" s="10">
        <f>D229</f>
        <v>4</v>
      </c>
    </row>
    <row r="230" spans="1:10" outlineLevel="1" x14ac:dyDescent="0.3">
      <c r="A230" s="6" t="s">
        <v>135</v>
      </c>
      <c r="B230" s="7" t="str">
        <f>VLOOKUP(A230,SINTÉTICO!$A$9:$J$125,4,FALSE)</f>
        <v>Chuveiro em PVC</v>
      </c>
      <c r="C230" s="8" t="str">
        <f>VLOOKUP(A230,SINTÉTICO!$A$9:$J$125,5,FALSE)</f>
        <v>UN</v>
      </c>
      <c r="D230" s="9">
        <v>1</v>
      </c>
      <c r="E230" s="9"/>
      <c r="F230" s="9"/>
      <c r="G230" s="9"/>
      <c r="H230" s="9"/>
      <c r="I230" s="9"/>
      <c r="J230" s="10">
        <f>D230</f>
        <v>1</v>
      </c>
    </row>
    <row r="231" spans="1:10" ht="55.2" outlineLevel="1" x14ac:dyDescent="0.3">
      <c r="A231" s="6" t="s">
        <v>137</v>
      </c>
      <c r="B231" s="7" t="str">
        <f>VLOOKUP(A231,SINTÉTICO!$A$9:$J$125,4,FALSE)</f>
        <v>LAVATÓRIO LOUÇA BRANCA COM COLUNA, *44 X 35,5* CM, PADRÃO POPULAR, INCLUSO SIFÃO FLEXÍVEL EM PVC, VÁLVULA E ENGATE FLEXÍVEL 30CM EM PLÁSTICO E COM TORNEIRA CROMADA PADRÃO POPULAR - FORNECIMENTO E INSTALAÇÃO. AF_01/2020</v>
      </c>
      <c r="C231" s="8" t="str">
        <f>VLOOKUP(A231,SINTÉTICO!$A$9:$J$125,5,FALSE)</f>
        <v>UN</v>
      </c>
      <c r="D231" s="9">
        <v>7</v>
      </c>
      <c r="E231" s="9"/>
      <c r="F231" s="9"/>
      <c r="G231" s="9"/>
      <c r="H231" s="9"/>
      <c r="I231" s="9"/>
      <c r="J231" s="10">
        <f t="shared" ref="J231:J233" si="11">D231</f>
        <v>7</v>
      </c>
    </row>
    <row r="232" spans="1:10" ht="41.4" outlineLevel="1" x14ac:dyDescent="0.3">
      <c r="A232" s="6" t="s">
        <v>230</v>
      </c>
      <c r="B232" s="7" t="str">
        <f>VLOOKUP(A232,SINTÉTICO!$A$9:$J$125,4,FALSE)</f>
        <v>TANQUE DE MÁRMORE SINTÉTICO SUSPENSO, 22L OU EQUIVALENTE, INCLUSO SIFÃO TIPO GARRAFA EM PVC, VÁLVULA PLÁSTICA E TORNEIRA DE PLÁSTICO - FORNECIMENTO E INSTALAÇÃO. AF_01/2020</v>
      </c>
      <c r="C232" s="8" t="str">
        <f>VLOOKUP(A232,SINTÉTICO!$A$9:$J$125,5,FALSE)</f>
        <v>UN</v>
      </c>
      <c r="D232" s="9">
        <v>1</v>
      </c>
      <c r="E232" s="9"/>
      <c r="F232" s="9"/>
      <c r="G232" s="9"/>
      <c r="H232" s="9"/>
      <c r="I232" s="9"/>
      <c r="J232" s="10">
        <f t="shared" si="11"/>
        <v>1</v>
      </c>
    </row>
    <row r="233" spans="1:10" ht="41.4" outlineLevel="1" x14ac:dyDescent="0.3">
      <c r="A233" s="6" t="s">
        <v>231</v>
      </c>
      <c r="B233" s="7" t="str">
        <f>VLOOKUP(A233,SINTÉTICO!$A$9:$J$125,4,FALSE)</f>
        <v>BANCADA/BANCA/PIA DE ACO INOXIDAVEL (AISI 430) COM 1 CUBA CENTRAL, COM VALVULA, LISA (SEM ESCORREDOR), DE *0,55 X 1,20* M - FORNECIMENTO E INSTALAÇÃO</v>
      </c>
      <c r="C233" s="8" t="str">
        <f>VLOOKUP(A233,SINTÉTICO!$A$9:$J$125,5,FALSE)</f>
        <v>UN</v>
      </c>
      <c r="D233" s="9">
        <v>2</v>
      </c>
      <c r="E233" s="9"/>
      <c r="F233" s="9"/>
      <c r="G233" s="9"/>
      <c r="H233" s="9"/>
      <c r="I233" s="9"/>
      <c r="J233" s="10">
        <f t="shared" si="11"/>
        <v>2</v>
      </c>
    </row>
    <row r="234" spans="1:10" outlineLevel="1" x14ac:dyDescent="0.3">
      <c r="A234" s="6" t="s">
        <v>232</v>
      </c>
      <c r="B234" s="7" t="str">
        <f>VLOOKUP(A234,SINTÉTICO!$A$9:$J$125,4,FALSE)</f>
        <v>Saboneteira para sabão líquido (vidro+inox) - móvel</v>
      </c>
      <c r="C234" s="8" t="str">
        <f>VLOOKUP(A234,SINTÉTICO!$A$9:$J$125,5,FALSE)</f>
        <v>UN</v>
      </c>
      <c r="D234" s="9">
        <f>D231+D233</f>
        <v>9</v>
      </c>
      <c r="E234" s="9"/>
      <c r="F234" s="9"/>
      <c r="G234" s="9"/>
      <c r="H234" s="9"/>
      <c r="I234" s="9"/>
      <c r="J234" s="10">
        <f t="shared" ref="J234:J237" si="12">D234</f>
        <v>9</v>
      </c>
    </row>
    <row r="235" spans="1:10" outlineLevel="1" x14ac:dyDescent="0.3">
      <c r="A235" s="6" t="s">
        <v>233</v>
      </c>
      <c r="B235" s="7" t="str">
        <f>VLOOKUP(A235,SINTÉTICO!$A$9:$J$125,4,FALSE)</f>
        <v>Porta-toalha em louça - tubular</v>
      </c>
      <c r="C235" s="8" t="str">
        <f>VLOOKUP(A235,SINTÉTICO!$A$9:$J$125,5,FALSE)</f>
        <v>UN</v>
      </c>
      <c r="D235" s="9">
        <f>D231+D233</f>
        <v>9</v>
      </c>
      <c r="E235" s="9"/>
      <c r="F235" s="9"/>
      <c r="G235" s="9"/>
      <c r="H235" s="9"/>
      <c r="I235" s="9"/>
      <c r="J235" s="10">
        <f t="shared" si="12"/>
        <v>9</v>
      </c>
    </row>
    <row r="236" spans="1:10" outlineLevel="1" x14ac:dyDescent="0.3">
      <c r="A236" s="6" t="s">
        <v>234</v>
      </c>
      <c r="B236" s="7" t="str">
        <f>VLOOKUP(A236,SINTÉTICO!$A$9:$J$125,4,FALSE)</f>
        <v>Bebedouro aço inox c/4 torneiras e filtro (det.5)</v>
      </c>
      <c r="C236" s="8" t="str">
        <f>VLOOKUP(A236,SINTÉTICO!$A$9:$J$125,5,FALSE)</f>
        <v>UN</v>
      </c>
      <c r="D236" s="9">
        <v>1</v>
      </c>
      <c r="E236" s="9"/>
      <c r="F236" s="9"/>
      <c r="G236" s="9"/>
      <c r="H236" s="9"/>
      <c r="I236" s="9"/>
      <c r="J236" s="10">
        <f t="shared" si="12"/>
        <v>1</v>
      </c>
    </row>
    <row r="237" spans="1:10" outlineLevel="1" x14ac:dyDescent="0.3">
      <c r="A237" s="6" t="s">
        <v>235</v>
      </c>
      <c r="B237" s="7" t="str">
        <f>VLOOKUP(A237,SINTÉTICO!$A$9:$J$125,4,FALSE)</f>
        <v>CAIXA D´ÁGUA EM POLIETILENO, 2000 LITROS, COM ACESSÓRIOS</v>
      </c>
      <c r="C237" s="8" t="str">
        <f>VLOOKUP(A237,SINTÉTICO!$A$9:$J$125,5,FALSE)</f>
        <v>UN</v>
      </c>
      <c r="D237" s="9">
        <v>1</v>
      </c>
      <c r="E237" s="9"/>
      <c r="F237" s="9"/>
      <c r="G237" s="9"/>
      <c r="H237" s="9"/>
      <c r="I237" s="9"/>
      <c r="J237" s="10">
        <f t="shared" si="12"/>
        <v>1</v>
      </c>
    </row>
    <row r="238" spans="1:10" s="30" customFormat="1" x14ac:dyDescent="0.3">
      <c r="A238" s="34"/>
      <c r="B238" s="35"/>
      <c r="C238" s="35"/>
      <c r="D238" s="35"/>
      <c r="E238" s="35"/>
      <c r="F238" s="35"/>
      <c r="G238" s="35"/>
      <c r="H238" s="35"/>
      <c r="I238" s="35"/>
      <c r="J238" s="36"/>
    </row>
    <row r="239" spans="1:10" s="30" customFormat="1" x14ac:dyDescent="0.3">
      <c r="A239" s="26" t="s">
        <v>139</v>
      </c>
      <c r="B239" s="27" t="str">
        <f>VLOOKUP(A239,SINTÉTICO!$A$9:$J$125,4,FALSE)</f>
        <v>CONEXÕES (ÁGUA FRIA)</v>
      </c>
      <c r="C239" s="28"/>
      <c r="D239" s="28"/>
      <c r="E239" s="28"/>
      <c r="F239" s="28"/>
      <c r="G239" s="28"/>
      <c r="H239" s="28"/>
      <c r="I239" s="28"/>
      <c r="J239" s="29"/>
    </row>
    <row r="240" spans="1:10" s="30" customFormat="1" ht="27.6" outlineLevel="1" x14ac:dyDescent="0.3">
      <c r="A240" s="31" t="s">
        <v>22</v>
      </c>
      <c r="B240" s="32" t="s">
        <v>23</v>
      </c>
      <c r="C240" s="32" t="s">
        <v>24</v>
      </c>
      <c r="D240" s="32" t="s">
        <v>193</v>
      </c>
      <c r="E240" s="32"/>
      <c r="F240" s="32"/>
      <c r="G240" s="32"/>
      <c r="H240" s="32"/>
      <c r="I240" s="32"/>
      <c r="J240" s="33" t="s">
        <v>25</v>
      </c>
    </row>
    <row r="241" spans="1:10" ht="27.6" outlineLevel="1" x14ac:dyDescent="0.3">
      <c r="A241" s="6" t="s">
        <v>140</v>
      </c>
      <c r="B241" s="7" t="str">
        <f>VLOOKUP(A241,SINTÉTICO!$A$9:$J$125,4,FALSE)</f>
        <v>BUCHA DE REDUCAO DE PVC, SOLDAVEL, CURTA, COM 25 X 20 MM - FORNECIMENTO E INSTALAÇÃO</v>
      </c>
      <c r="C241" s="8" t="str">
        <f>VLOOKUP(A241,SINTÉTICO!$A$9:$J$125,5,FALSE)</f>
        <v>UN</v>
      </c>
      <c r="D241" s="9">
        <v>10</v>
      </c>
      <c r="E241" s="9"/>
      <c r="F241" s="9"/>
      <c r="G241" s="9"/>
      <c r="H241" s="9"/>
      <c r="I241" s="9"/>
      <c r="J241" s="10">
        <f>D241</f>
        <v>10</v>
      </c>
    </row>
    <row r="242" spans="1:10" ht="27.6" outlineLevel="1" x14ac:dyDescent="0.3">
      <c r="A242" s="6" t="s">
        <v>142</v>
      </c>
      <c r="B242" s="7" t="str">
        <f>VLOOKUP(A242,SINTÉTICO!$A$9:$J$125,4,FALSE)</f>
        <v>BUCHA DE REDUCAO DE PVC, SOLDAVEL, CURTA, COM 32 X 25 MM - FORNECIMENTO E INSTALAÇÃO</v>
      </c>
      <c r="C242" s="8" t="str">
        <f>VLOOKUP(A242,SINTÉTICO!$A$9:$J$125,5,FALSE)</f>
        <v>UN</v>
      </c>
      <c r="D242" s="9">
        <v>10</v>
      </c>
      <c r="E242" s="9"/>
      <c r="F242" s="9"/>
      <c r="G242" s="9"/>
      <c r="H242" s="9"/>
      <c r="I242" s="9"/>
      <c r="J242" s="10">
        <f t="shared" ref="J242:J258" si="13">D242</f>
        <v>10</v>
      </c>
    </row>
    <row r="243" spans="1:10" ht="41.4" outlineLevel="1" x14ac:dyDescent="0.3">
      <c r="A243" s="6" t="s">
        <v>144</v>
      </c>
      <c r="B243" s="7" t="str">
        <f>VLOOKUP(A243,SINTÉTICO!$A$9:$J$125,4,FALSE)</f>
        <v>BUCHA DE REDUÇÃO, PVC, SOLDÁVEL, DN 40MM X 32MM, INSTALADO EM RAMAL OU SUB-RAMAL DE ÁGUA - FORNECIMENTO E INSTALAÇÃO. AF_03/2015</v>
      </c>
      <c r="C243" s="8" t="str">
        <f>VLOOKUP(A243,SINTÉTICO!$A$9:$J$125,5,FALSE)</f>
        <v>UN</v>
      </c>
      <c r="D243" s="9">
        <v>5</v>
      </c>
      <c r="E243" s="9"/>
      <c r="F243" s="9"/>
      <c r="G243" s="9"/>
      <c r="H243" s="9"/>
      <c r="I243" s="9"/>
      <c r="J243" s="10">
        <f t="shared" si="13"/>
        <v>5</v>
      </c>
    </row>
    <row r="244" spans="1:10" ht="27.6" outlineLevel="1" x14ac:dyDescent="0.3">
      <c r="A244" s="6" t="s">
        <v>145</v>
      </c>
      <c r="B244" s="7" t="str">
        <f>VLOOKUP(A244,SINTÉTICO!$A$9:$J$125,4,FALSE)</f>
        <v>CURVA 90 GRAUS, PVC, SOLDÁVEL, DN 20MM, INSTALADO EM RAMAL DE DISTRIBUIÇÃO DE ÁGUA - FORNECIMENTO E INSTALAÇÃO. AF_12/2014</v>
      </c>
      <c r="C244" s="8" t="str">
        <f>VLOOKUP(A244,SINTÉTICO!$A$9:$J$125,5,FALSE)</f>
        <v>UN</v>
      </c>
      <c r="D244" s="9">
        <v>1</v>
      </c>
      <c r="E244" s="9"/>
      <c r="F244" s="9"/>
      <c r="G244" s="9"/>
      <c r="H244" s="9"/>
      <c r="I244" s="9"/>
      <c r="J244" s="10">
        <f t="shared" si="13"/>
        <v>1</v>
      </c>
    </row>
    <row r="245" spans="1:10" ht="27.6" outlineLevel="1" x14ac:dyDescent="0.3">
      <c r="A245" s="6" t="s">
        <v>146</v>
      </c>
      <c r="B245" s="7" t="str">
        <f>VLOOKUP(A245,SINTÉTICO!$A$9:$J$125,4,FALSE)</f>
        <v>CURVA 90 GRAUS, PVC, SOLDÁVEL, DN 25MM, INSTALADO EM RAMAL DE DISTRIBUIÇÃO DE ÁGUA - FORNECIMENTO E INSTALAÇÃO. AF_12/2014</v>
      </c>
      <c r="C245" s="8" t="str">
        <f>VLOOKUP(A245,SINTÉTICO!$A$9:$J$125,5,FALSE)</f>
        <v>UN</v>
      </c>
      <c r="D245" s="9">
        <v>12</v>
      </c>
      <c r="E245" s="9"/>
      <c r="F245" s="9"/>
      <c r="G245" s="9"/>
      <c r="H245" s="9"/>
      <c r="I245" s="9"/>
      <c r="J245" s="10">
        <f t="shared" si="13"/>
        <v>12</v>
      </c>
    </row>
    <row r="246" spans="1:10" ht="27.6" outlineLevel="1" x14ac:dyDescent="0.3">
      <c r="A246" s="6" t="s">
        <v>147</v>
      </c>
      <c r="B246" s="7" t="str">
        <f>VLOOKUP(A246,SINTÉTICO!$A$9:$J$125,4,FALSE)</f>
        <v>CURVA 90 GRAUS, PVC, SOLDÁVEL, DN 32MM, INSTALADO EM RAMAL DE DISTRIBUIÇÃO DE ÁGUA - FORNECIMENTO E INSTALAÇÃO. AF_12/2014</v>
      </c>
      <c r="C246" s="8" t="str">
        <f>VLOOKUP(A246,SINTÉTICO!$A$9:$J$125,5,FALSE)</f>
        <v>UN</v>
      </c>
      <c r="D246" s="9">
        <v>10</v>
      </c>
      <c r="E246" s="9"/>
      <c r="F246" s="9"/>
      <c r="G246" s="9"/>
      <c r="H246" s="9"/>
      <c r="I246" s="9"/>
      <c r="J246" s="10">
        <f t="shared" si="13"/>
        <v>10</v>
      </c>
    </row>
    <row r="247" spans="1:10" ht="27.6" outlineLevel="1" x14ac:dyDescent="0.3">
      <c r="A247" s="6" t="s">
        <v>148</v>
      </c>
      <c r="B247" s="7" t="str">
        <f>VLOOKUP(A247,SINTÉTICO!$A$9:$J$125,4,FALSE)</f>
        <v>CURVA 90 GRAUS, PVC, SOLDÁVEL, DN 40MM, INSTALADO EM PRUMADA DE ÁGUA - FORNECIMENTO E INSTALAÇÃO. AF_12/2014</v>
      </c>
      <c r="C247" s="8" t="str">
        <f>VLOOKUP(A247,SINTÉTICO!$A$9:$J$125,5,FALSE)</f>
        <v>UN</v>
      </c>
      <c r="D247" s="9">
        <v>1</v>
      </c>
      <c r="E247" s="9"/>
      <c r="F247" s="9"/>
      <c r="G247" s="9"/>
      <c r="H247" s="9"/>
      <c r="I247" s="9"/>
      <c r="J247" s="10">
        <f t="shared" si="13"/>
        <v>1</v>
      </c>
    </row>
    <row r="248" spans="1:10" ht="27.6" outlineLevel="1" x14ac:dyDescent="0.3">
      <c r="A248" s="6" t="s">
        <v>149</v>
      </c>
      <c r="B248" s="7" t="str">
        <f>VLOOKUP(A248,SINTÉTICO!$A$9:$J$125,4,FALSE)</f>
        <v>JOELHO 90 GRAUS, PVC, SOLDÁVEL, DN 20MM, INSTALADO EM RAMAL DE DISTRIBUIÇÃO DE ÁGUA - FORNECIMENTO E INSTALAÇÃO. AF_12/2014</v>
      </c>
      <c r="C248" s="8" t="str">
        <f>VLOOKUP(A248,SINTÉTICO!$A$9:$J$125,5,FALSE)</f>
        <v>UN</v>
      </c>
      <c r="D248" s="9">
        <v>2</v>
      </c>
      <c r="E248" s="9"/>
      <c r="F248" s="9"/>
      <c r="G248" s="9"/>
      <c r="H248" s="9"/>
      <c r="I248" s="9"/>
      <c r="J248" s="10">
        <f t="shared" si="13"/>
        <v>2</v>
      </c>
    </row>
    <row r="249" spans="1:10" ht="27.6" outlineLevel="1" x14ac:dyDescent="0.3">
      <c r="A249" s="6" t="s">
        <v>150</v>
      </c>
      <c r="B249" s="7" t="str">
        <f>VLOOKUP(A249,SINTÉTICO!$A$9:$J$125,4,FALSE)</f>
        <v>JOELHO 90 GRAUS, PVC, SOLDÁVEL, DN 25MM, INSTALADO EM RAMAL DE DISTRIBUIÇÃO DE ÁGUA - FORNECIMENTO E INSTALAÇÃO. AF_12/2014</v>
      </c>
      <c r="C249" s="8" t="str">
        <f>VLOOKUP(A249,SINTÉTICO!$A$9:$J$125,5,FALSE)</f>
        <v>UN</v>
      </c>
      <c r="D249" s="9">
        <v>2</v>
      </c>
      <c r="E249" s="9"/>
      <c r="F249" s="9"/>
      <c r="G249" s="9"/>
      <c r="H249" s="9"/>
      <c r="I249" s="9"/>
      <c r="J249" s="10">
        <f t="shared" si="13"/>
        <v>2</v>
      </c>
    </row>
    <row r="250" spans="1:10" ht="27.6" outlineLevel="1" x14ac:dyDescent="0.3">
      <c r="A250" s="6" t="s">
        <v>151</v>
      </c>
      <c r="B250" s="7" t="str">
        <f>VLOOKUP(A250,SINTÉTICO!$A$9:$J$125,4,FALSE)</f>
        <v>JOELHO 90 GRAUS, PVC, SOLDÁVEL, DN 32MM, INSTALADO EM RAMAL DE DISTRIBUIÇÃO DE ÁGUA - FORNECIMENTO E INSTALAÇÃO. AF_12/2014</v>
      </c>
      <c r="C250" s="8" t="str">
        <f>VLOOKUP(A250,SINTÉTICO!$A$9:$J$125,5,FALSE)</f>
        <v>UN</v>
      </c>
      <c r="D250" s="9">
        <v>5</v>
      </c>
      <c r="E250" s="9"/>
      <c r="F250" s="9"/>
      <c r="G250" s="9"/>
      <c r="H250" s="9"/>
      <c r="I250" s="9"/>
      <c r="J250" s="10">
        <f t="shared" si="13"/>
        <v>5</v>
      </c>
    </row>
    <row r="251" spans="1:10" ht="27.6" outlineLevel="1" x14ac:dyDescent="0.3">
      <c r="A251" s="6" t="s">
        <v>152</v>
      </c>
      <c r="B251" s="7" t="str">
        <f>VLOOKUP(A251,SINTÉTICO!$A$9:$J$125,4,FALSE)</f>
        <v>JOELHO 90 GRAUS, PVC, SOLDÁVEL, DN 40MM, INSTALADO EM PRUMADA DE ÁGUA - FORNECIMENTO E INSTALAÇÃO. AF_12/2014</v>
      </c>
      <c r="C251" s="8" t="str">
        <f>VLOOKUP(A251,SINTÉTICO!$A$9:$J$125,5,FALSE)</f>
        <v>UN</v>
      </c>
      <c r="D251" s="9">
        <v>3</v>
      </c>
      <c r="E251" s="9"/>
      <c r="F251" s="9"/>
      <c r="G251" s="9"/>
      <c r="H251" s="9"/>
      <c r="I251" s="9"/>
      <c r="J251" s="10">
        <f t="shared" si="13"/>
        <v>3</v>
      </c>
    </row>
    <row r="252" spans="1:10" ht="27.6" outlineLevel="1" x14ac:dyDescent="0.3">
      <c r="A252" s="6" t="s">
        <v>153</v>
      </c>
      <c r="B252" s="7" t="str">
        <f>VLOOKUP(A252,SINTÉTICO!$A$9:$J$125,4,FALSE)</f>
        <v>JOELHO PVC, SOLDAVEL, COM BUCHA DE LATAO, 90 GRAUS, 20 MM X 1/2", PARA AGUA FRIA PREDIAL - FORNECIMENTO E INSTALAÇÃO</v>
      </c>
      <c r="C252" s="8" t="str">
        <f>VLOOKUP(A252,SINTÉTICO!$A$9:$J$125,5,FALSE)</f>
        <v>UN</v>
      </c>
      <c r="D252" s="9">
        <v>12</v>
      </c>
      <c r="E252" s="9"/>
      <c r="F252" s="9"/>
      <c r="G252" s="9"/>
      <c r="H252" s="9"/>
      <c r="I252" s="9"/>
      <c r="J252" s="10">
        <f t="shared" si="13"/>
        <v>12</v>
      </c>
    </row>
    <row r="253" spans="1:10" ht="41.4" outlineLevel="1" x14ac:dyDescent="0.3">
      <c r="A253" s="6" t="s">
        <v>155</v>
      </c>
      <c r="B253" s="7" t="str">
        <f>VLOOKUP(A253,SINTÉTICO!$A$9:$J$125,4,FALSE)</f>
        <v>TÊ DE REDUÇÃO, PVC, SOLDÁVEL, DN 25MM X 20MM, INSTALADO EM RAMAL DE DISTRIBUIÇÃO DE ÁGUA - FORNECIMENTO E INSTALAÇÃO. AF_12/2014</v>
      </c>
      <c r="C253" s="8" t="str">
        <f>VLOOKUP(A253,SINTÉTICO!$A$9:$J$125,5,FALSE)</f>
        <v>UN</v>
      </c>
      <c r="D253" s="9">
        <v>7</v>
      </c>
      <c r="E253" s="9"/>
      <c r="F253" s="9"/>
      <c r="G253" s="9"/>
      <c r="H253" s="9"/>
      <c r="I253" s="9"/>
      <c r="J253" s="10">
        <f t="shared" si="13"/>
        <v>7</v>
      </c>
    </row>
    <row r="254" spans="1:10" ht="27.6" outlineLevel="1" x14ac:dyDescent="0.3">
      <c r="A254" s="6" t="s">
        <v>156</v>
      </c>
      <c r="B254" s="7" t="str">
        <f>VLOOKUP(A254,SINTÉTICO!$A$9:$J$125,4,FALSE)</f>
        <v>TÊ DE REDUÇÃO, PVC, SOLDÁVEL, DN 40MM X 32MM, INSTALADO EM PRUMADA DE ÁGUA - FORNECIMENTO E INSTALAÇÃO. AF_12/2014</v>
      </c>
      <c r="C254" s="8" t="str">
        <f>VLOOKUP(A254,SINTÉTICO!$A$9:$J$125,5,FALSE)</f>
        <v>UN</v>
      </c>
      <c r="D254" s="9">
        <v>7</v>
      </c>
      <c r="E254" s="9"/>
      <c r="F254" s="9"/>
      <c r="G254" s="9"/>
      <c r="H254" s="9"/>
      <c r="I254" s="9"/>
      <c r="J254" s="10">
        <f t="shared" si="13"/>
        <v>7</v>
      </c>
    </row>
    <row r="255" spans="1:10" ht="27.6" outlineLevel="1" x14ac:dyDescent="0.3">
      <c r="A255" s="6" t="s">
        <v>157</v>
      </c>
      <c r="B255" s="7" t="str">
        <f>VLOOKUP(A255,SINTÉTICO!$A$9:$J$125,4,FALSE)</f>
        <v>TE, PVC, SOLDÁVEL, DN 20MM, INSTALADO EM RAMAL DE DISTRIBUIÇÃO DE ÁGUA - FORNECIMENTO E INSTALAÇÃO. AF_12/2014</v>
      </c>
      <c r="C255" s="8" t="str">
        <f>VLOOKUP(A255,SINTÉTICO!$A$9:$J$125,5,FALSE)</f>
        <v>UN</v>
      </c>
      <c r="D255" s="9">
        <v>1</v>
      </c>
      <c r="E255" s="9"/>
      <c r="F255" s="9"/>
      <c r="G255" s="9"/>
      <c r="H255" s="9"/>
      <c r="I255" s="9"/>
      <c r="J255" s="10">
        <f t="shared" si="13"/>
        <v>1</v>
      </c>
    </row>
    <row r="256" spans="1:10" ht="27.6" outlineLevel="1" x14ac:dyDescent="0.3">
      <c r="A256" s="6" t="s">
        <v>158</v>
      </c>
      <c r="B256" s="7" t="str">
        <f>VLOOKUP(A256,SINTÉTICO!$A$9:$J$125,4,FALSE)</f>
        <v>TE, PVC, SOLDÁVEL, DN 32MM, INSTALADO EM RAMAL DE DISTRIBUIÇÃO DE ÁGUA - FORNECIMENTO E INSTALAÇÃO. AF_12/2014</v>
      </c>
      <c r="C256" s="8" t="str">
        <f>VLOOKUP(A256,SINTÉTICO!$A$9:$J$125,5,FALSE)</f>
        <v>UN</v>
      </c>
      <c r="D256" s="9">
        <v>1</v>
      </c>
      <c r="E256" s="9"/>
      <c r="F256" s="9"/>
      <c r="G256" s="9"/>
      <c r="H256" s="9"/>
      <c r="I256" s="9"/>
      <c r="J256" s="10">
        <f t="shared" si="13"/>
        <v>1</v>
      </c>
    </row>
    <row r="257" spans="1:10" ht="27.6" outlineLevel="1" x14ac:dyDescent="0.3">
      <c r="A257" s="6" t="s">
        <v>159</v>
      </c>
      <c r="B257" s="7" t="str">
        <f>VLOOKUP(A257,SINTÉTICO!$A$9:$J$125,4,FALSE)</f>
        <v>TE, PVC, SOLDÁVEL, DN 40MM, INSTALADO EM PRUMADA DE ÁGUA - FORNECIMENTO E INSTALAÇÃO. AF_12/2014</v>
      </c>
      <c r="C257" s="8" t="str">
        <f>VLOOKUP(A257,SINTÉTICO!$A$9:$J$125,5,FALSE)</f>
        <v>UN</v>
      </c>
      <c r="D257" s="9">
        <v>3</v>
      </c>
      <c r="E257" s="9"/>
      <c r="F257" s="9"/>
      <c r="G257" s="9"/>
      <c r="H257" s="9"/>
      <c r="I257" s="9"/>
      <c r="J257" s="10">
        <f t="shared" si="13"/>
        <v>3</v>
      </c>
    </row>
    <row r="258" spans="1:10" ht="41.4" outlineLevel="1" x14ac:dyDescent="0.3">
      <c r="A258" s="6" t="s">
        <v>160</v>
      </c>
      <c r="B258" s="7" t="str">
        <f>VLOOKUP(A258,SINTÉTICO!$A$9:$J$125,4,FALSE)</f>
        <v>TÊ COM BUCHA DE LATÃO NA BOLSA CENTRAL, PVC, SOLDÁVEL, DN 20MM X 1/2, INSTALADO EM RAMAL OU SUB-RAMAL DE ÁGUA - FORNECIMENTO E INSTALAÇÃO. AF_12/2014</v>
      </c>
      <c r="C258" s="8" t="str">
        <f>VLOOKUP(A258,SINTÉTICO!$A$9:$J$125,5,FALSE)</f>
        <v>UN</v>
      </c>
      <c r="D258" s="9">
        <v>1</v>
      </c>
      <c r="E258" s="9"/>
      <c r="F258" s="9"/>
      <c r="G258" s="9"/>
      <c r="H258" s="9"/>
      <c r="I258" s="9"/>
      <c r="J258" s="10">
        <f t="shared" si="13"/>
        <v>1</v>
      </c>
    </row>
    <row r="259" spans="1:10" s="30" customFormat="1" x14ac:dyDescent="0.3">
      <c r="A259" s="34"/>
      <c r="B259" s="35"/>
      <c r="C259" s="35"/>
      <c r="D259" s="35"/>
      <c r="E259" s="35"/>
      <c r="F259" s="35"/>
      <c r="G259" s="35"/>
      <c r="H259" s="35"/>
      <c r="I259" s="35"/>
      <c r="J259" s="36"/>
    </row>
    <row r="260" spans="1:10" s="30" customFormat="1" x14ac:dyDescent="0.3">
      <c r="A260" s="26" t="s">
        <v>161</v>
      </c>
      <c r="B260" s="27" t="str">
        <f>VLOOKUP(A260,SINTÉTICO!$A$9:$J$125,4,FALSE)</f>
        <v>CONEXÕES (ESGOTO)</v>
      </c>
      <c r="C260" s="28"/>
      <c r="D260" s="28"/>
      <c r="E260" s="28"/>
      <c r="F260" s="28"/>
      <c r="G260" s="28"/>
      <c r="H260" s="28"/>
      <c r="I260" s="28"/>
      <c r="J260" s="29"/>
    </row>
    <row r="261" spans="1:10" s="30" customFormat="1" ht="27.6" outlineLevel="1" x14ac:dyDescent="0.3">
      <c r="A261" s="31" t="s">
        <v>22</v>
      </c>
      <c r="B261" s="32" t="s">
        <v>23</v>
      </c>
      <c r="C261" s="32" t="s">
        <v>24</v>
      </c>
      <c r="D261" s="32" t="s">
        <v>193</v>
      </c>
      <c r="E261" s="32"/>
      <c r="F261" s="32"/>
      <c r="G261" s="32"/>
      <c r="H261" s="32"/>
      <c r="I261" s="32"/>
      <c r="J261" s="33" t="s">
        <v>25</v>
      </c>
    </row>
    <row r="262" spans="1:10" ht="27.6" outlineLevel="1" x14ac:dyDescent="0.3">
      <c r="A262" s="6" t="s">
        <v>162</v>
      </c>
      <c r="B262" s="7" t="str">
        <f>VLOOKUP(A262,SINTÉTICO!$A$9:$J$125,4,FALSE)</f>
        <v>CAP PVC, SOLDAVEL, DN 100 MM, SERIE NORMAL, PARA ESGOTO PREDIAL</v>
      </c>
      <c r="C262" s="8" t="str">
        <f>VLOOKUP(A262,SINTÉTICO!$A$9:$J$125,5,FALSE)</f>
        <v>UN</v>
      </c>
      <c r="D262" s="9">
        <v>3</v>
      </c>
      <c r="E262" s="9"/>
      <c r="F262" s="9"/>
      <c r="G262" s="9"/>
      <c r="H262" s="9"/>
      <c r="I262" s="9"/>
      <c r="J262" s="10">
        <f>D262</f>
        <v>3</v>
      </c>
    </row>
    <row r="263" spans="1:10" ht="41.4" outlineLevel="1" x14ac:dyDescent="0.3">
      <c r="A263" s="6" t="s">
        <v>164</v>
      </c>
      <c r="B263" s="7" t="str">
        <f>VLOOKUP(A263,SINTÉTICO!$A$9:$J$125,4,FALSE)</f>
        <v>JOELHO 45 GRAUS, PVC, SERIE NORMAL, ESGOTO PREDIAL, DN 100 MM, JUNTA ELÁSTICA, FORNECIDO E INSTALADO EM PRUMADA DE ESGOTO SANITÁRIO OU VENTILAÇÃO. AF_12/2014</v>
      </c>
      <c r="C263" s="8" t="str">
        <f>VLOOKUP(A263,SINTÉTICO!$A$9:$J$125,5,FALSE)</f>
        <v>UN</v>
      </c>
      <c r="D263" s="9">
        <v>1</v>
      </c>
      <c r="E263" s="9"/>
      <c r="F263" s="9"/>
      <c r="G263" s="9"/>
      <c r="H263" s="9"/>
      <c r="I263" s="9"/>
      <c r="J263" s="10">
        <f t="shared" ref="J263:J265" si="14">D263</f>
        <v>1</v>
      </c>
    </row>
    <row r="264" spans="1:10" ht="41.4" outlineLevel="1" x14ac:dyDescent="0.3">
      <c r="A264" s="6" t="s">
        <v>165</v>
      </c>
      <c r="B264" s="7" t="str">
        <f>VLOOKUP(A264,SINTÉTICO!$A$9:$J$125,4,FALSE)</f>
        <v>JUNÇÃO SIMPLES, PVC, SERIE NORMAL, ESGOTO PREDIAL, DN 100 X 100 MM, JUNTA ELÁSTICA, FORNECIDO E INSTALADO EM PRUMADA DE ESGOTO SANITÁRIO OU VENTILAÇÃO. AF_12/2014</v>
      </c>
      <c r="C264" s="8" t="str">
        <f>VLOOKUP(A264,SINTÉTICO!$A$9:$J$125,5,FALSE)</f>
        <v>UN</v>
      </c>
      <c r="D264" s="9">
        <v>3</v>
      </c>
      <c r="E264" s="9"/>
      <c r="F264" s="9"/>
      <c r="G264" s="9"/>
      <c r="H264" s="9"/>
      <c r="I264" s="9"/>
      <c r="J264" s="10">
        <f t="shared" si="14"/>
        <v>3</v>
      </c>
    </row>
    <row r="265" spans="1:10" ht="41.4" outlineLevel="1" x14ac:dyDescent="0.3">
      <c r="A265" s="6" t="s">
        <v>166</v>
      </c>
      <c r="B265" s="7" t="str">
        <f>VLOOKUP(A265,SINTÉTICO!$A$9:$J$125,4,FALSE)</f>
        <v>LUVA SIMPLES, PVC, SERIE NORMAL, ESGOTO PREDIAL, DN 100 MM, JUNTA ELÁSTICA, FORNECIDO E INSTALADO EM PRUMADA DE ESGOTO SANITÁRIO OU VENTILAÇÃO. AF_12/2014</v>
      </c>
      <c r="C265" s="8" t="str">
        <f>VLOOKUP(A265,SINTÉTICO!$A$9:$J$125,5,FALSE)</f>
        <v>UN</v>
      </c>
      <c r="D265" s="9">
        <v>4</v>
      </c>
      <c r="E265" s="9"/>
      <c r="F265" s="9"/>
      <c r="G265" s="9"/>
      <c r="H265" s="9"/>
      <c r="I265" s="9"/>
      <c r="J265" s="10">
        <f t="shared" si="14"/>
        <v>4</v>
      </c>
    </row>
    <row r="266" spans="1:10" s="30" customFormat="1" x14ac:dyDescent="0.3">
      <c r="A266" s="34"/>
      <c r="B266" s="35"/>
      <c r="C266" s="35"/>
      <c r="D266" s="35"/>
      <c r="E266" s="35"/>
      <c r="F266" s="35"/>
      <c r="G266" s="35"/>
      <c r="H266" s="35"/>
      <c r="I266" s="35"/>
      <c r="J266" s="36"/>
    </row>
    <row r="267" spans="1:10" s="30" customFormat="1" x14ac:dyDescent="0.3">
      <c r="A267" s="26" t="s">
        <v>167</v>
      </c>
      <c r="B267" s="27" t="str">
        <f>VLOOKUP(A267,SINTÉTICO!$A$9:$J$125,4,FALSE)</f>
        <v>REGISTROS E VÁLVULAS</v>
      </c>
      <c r="C267" s="28"/>
      <c r="D267" s="28"/>
      <c r="E267" s="28"/>
      <c r="F267" s="28"/>
      <c r="G267" s="28"/>
      <c r="H267" s="28"/>
      <c r="I267" s="28"/>
      <c r="J267" s="29"/>
    </row>
    <row r="268" spans="1:10" s="30" customFormat="1" ht="27.6" outlineLevel="1" x14ac:dyDescent="0.3">
      <c r="A268" s="31" t="s">
        <v>22</v>
      </c>
      <c r="B268" s="32" t="s">
        <v>23</v>
      </c>
      <c r="C268" s="32" t="s">
        <v>24</v>
      </c>
      <c r="D268" s="32" t="s">
        <v>193</v>
      </c>
      <c r="E268" s="32"/>
      <c r="F268" s="32"/>
      <c r="G268" s="32"/>
      <c r="H268" s="32"/>
      <c r="I268" s="32"/>
      <c r="J268" s="33" t="s">
        <v>25</v>
      </c>
    </row>
    <row r="269" spans="1:10" ht="41.4" outlineLevel="1" x14ac:dyDescent="0.3">
      <c r="A269" s="6" t="s">
        <v>168</v>
      </c>
      <c r="B269" s="7" t="str">
        <f>VLOOKUP(A269,SINTÉTICO!$A$9:$J$125,4,FALSE)</f>
        <v>REGISTRO DE PRESSÃO BRUTO, LATÃO, ROSCÁVEL, 3/4", COM ACABAMENTO E CANOPLA CROMADOS. FORNECIDO E INSTALADO EM RAMAL DE ÁGUA. AF_12/2014</v>
      </c>
      <c r="C269" s="8" t="str">
        <f>VLOOKUP(A269,SINTÉTICO!$A$9:$J$125,5,FALSE)</f>
        <v>UN</v>
      </c>
      <c r="D269" s="9">
        <v>1</v>
      </c>
      <c r="E269" s="9"/>
      <c r="F269" s="9"/>
      <c r="G269" s="9"/>
      <c r="H269" s="9"/>
      <c r="I269" s="9"/>
      <c r="J269" s="10">
        <f>D269</f>
        <v>1</v>
      </c>
    </row>
    <row r="270" spans="1:10" ht="41.4" outlineLevel="1" x14ac:dyDescent="0.3">
      <c r="A270" s="6" t="s">
        <v>169</v>
      </c>
      <c r="B270" s="7" t="str">
        <f>VLOOKUP(A270,SINTÉTICO!$A$9:$J$125,4,FALSE)</f>
        <v>REGISTRO DE ESFERA, PVC, SOLDÁVEL, DN  32 MM, INSTALADO EM RESERVAÇÃO DE ÁGUA DE EDIFICAÇÃO QUE POSSUA RESERVATÓRIO DE FIBRA/FIBROCIMENTO   FORNECIMENTO E INSTALAÇÃO. AF_06/2016</v>
      </c>
      <c r="C270" s="8" t="str">
        <f>VLOOKUP(A270,SINTÉTICO!$A$9:$J$125,5,FALSE)</f>
        <v>UN</v>
      </c>
      <c r="D270" s="9">
        <v>13</v>
      </c>
      <c r="E270" s="9"/>
      <c r="F270" s="9"/>
      <c r="G270" s="9"/>
      <c r="H270" s="9"/>
      <c r="I270" s="9"/>
      <c r="J270" s="10">
        <f>D270</f>
        <v>13</v>
      </c>
    </row>
    <row r="271" spans="1:10" s="30" customFormat="1" x14ac:dyDescent="0.3">
      <c r="A271" s="34"/>
      <c r="B271" s="35"/>
      <c r="C271" s="35"/>
      <c r="D271" s="35"/>
      <c r="E271" s="35"/>
      <c r="F271" s="35"/>
      <c r="G271" s="35"/>
      <c r="H271" s="35"/>
      <c r="I271" s="35"/>
      <c r="J271" s="36"/>
    </row>
    <row r="272" spans="1:10" s="30" customFormat="1" x14ac:dyDescent="0.3">
      <c r="A272" s="26" t="s">
        <v>170</v>
      </c>
      <c r="B272" s="27" t="str">
        <f>VLOOKUP(A272,SINTÉTICO!$A$9:$J$125,4,FALSE)</f>
        <v>TUBOS</v>
      </c>
      <c r="C272" s="28"/>
      <c r="D272" s="28"/>
      <c r="E272" s="28"/>
      <c r="F272" s="28"/>
      <c r="G272" s="28"/>
      <c r="H272" s="28"/>
      <c r="I272" s="28"/>
      <c r="J272" s="29"/>
    </row>
    <row r="273" spans="1:10" s="30" customFormat="1" ht="27.6" outlineLevel="1" x14ac:dyDescent="0.3">
      <c r="A273" s="31" t="s">
        <v>22</v>
      </c>
      <c r="B273" s="32" t="s">
        <v>23</v>
      </c>
      <c r="C273" s="32" t="s">
        <v>24</v>
      </c>
      <c r="D273" s="32" t="s">
        <v>193</v>
      </c>
      <c r="E273" s="32"/>
      <c r="F273" s="32"/>
      <c r="G273" s="32"/>
      <c r="H273" s="32"/>
      <c r="I273" s="32"/>
      <c r="J273" s="33" t="s">
        <v>25</v>
      </c>
    </row>
    <row r="274" spans="1:10" ht="27.6" outlineLevel="1" x14ac:dyDescent="0.3">
      <c r="A274" s="6" t="s">
        <v>171</v>
      </c>
      <c r="B274" s="7" t="str">
        <f>VLOOKUP(A274,SINTÉTICO!$A$9:$J$125,4,FALSE)</f>
        <v>TUBO, PVC, SOLDÁVEL, DN 20MM, INSTALADO EM RAMAL OU SUB-RAMAL DE ÁGUA - FORNECIMENTO E INSTALAÇÃO. AF_12/2014</v>
      </c>
      <c r="C274" s="8" t="str">
        <f>VLOOKUP(A274,SINTÉTICO!$A$9:$J$125,5,FALSE)</f>
        <v>M</v>
      </c>
      <c r="D274" s="9">
        <v>6.19</v>
      </c>
      <c r="E274" s="9"/>
      <c r="F274" s="9"/>
      <c r="G274" s="9"/>
      <c r="H274" s="9"/>
      <c r="I274" s="9"/>
      <c r="J274" s="10">
        <f>D274</f>
        <v>6.19</v>
      </c>
    </row>
    <row r="275" spans="1:10" ht="27.6" outlineLevel="1" x14ac:dyDescent="0.3">
      <c r="A275" s="6" t="s">
        <v>172</v>
      </c>
      <c r="B275" s="7" t="str">
        <f>VLOOKUP(A275,SINTÉTICO!$A$9:$J$125,4,FALSE)</f>
        <v>TUBO, PVC, SOLDÁVEL, DN 25MM, INSTALADO EM RAMAL OU SUB-RAMAL DE ÁGUA - FORNECIMENTO E INSTALAÇÃO. AF_12/2014</v>
      </c>
      <c r="C275" s="8" t="str">
        <f>VLOOKUP(A275,SINTÉTICO!$A$9:$J$125,5,FALSE)</f>
        <v>M</v>
      </c>
      <c r="D275" s="9">
        <v>27.57</v>
      </c>
      <c r="E275" s="9"/>
      <c r="F275" s="9"/>
      <c r="G275" s="9"/>
      <c r="H275" s="9"/>
      <c r="I275" s="9"/>
      <c r="J275" s="10">
        <f t="shared" ref="J275:J278" si="15">D275</f>
        <v>27.57</v>
      </c>
    </row>
    <row r="276" spans="1:10" ht="27.6" outlineLevel="1" x14ac:dyDescent="0.3">
      <c r="A276" s="6" t="s">
        <v>173</v>
      </c>
      <c r="B276" s="7" t="str">
        <f>VLOOKUP(A276,SINTÉTICO!$A$9:$J$125,4,FALSE)</f>
        <v>TUBO, PVC, SOLDÁVEL, DN 32MM, INSTALADO EM RAMAL OU SUB-RAMAL DE ÁGUA - FORNECIMENTO E INSTALAÇÃO. AF_12/2014</v>
      </c>
      <c r="C276" s="8" t="str">
        <f>VLOOKUP(A276,SINTÉTICO!$A$9:$J$125,5,FALSE)</f>
        <v>M</v>
      </c>
      <c r="D276" s="9">
        <v>46.12</v>
      </c>
      <c r="E276" s="9"/>
      <c r="F276" s="9"/>
      <c r="G276" s="9"/>
      <c r="H276" s="9"/>
      <c r="I276" s="9"/>
      <c r="J276" s="10">
        <f t="shared" si="15"/>
        <v>46.12</v>
      </c>
    </row>
    <row r="277" spans="1:10" ht="27.6" outlineLevel="1" x14ac:dyDescent="0.3">
      <c r="A277" s="6" t="s">
        <v>174</v>
      </c>
      <c r="B277" s="7" t="str">
        <f>VLOOKUP(A277,SINTÉTICO!$A$9:$J$125,4,FALSE)</f>
        <v>TUBO, PVC, SOLDÁVEL, DN 40MM, INSTALADO EM PRUMADA DE ÁGUA - FORNECIMENTO E INSTALAÇÃO. AF_12/2014</v>
      </c>
      <c r="C277" s="8" t="str">
        <f>VLOOKUP(A277,SINTÉTICO!$A$9:$J$125,5,FALSE)</f>
        <v>M</v>
      </c>
      <c r="D277" s="9">
        <v>16.989999999999998</v>
      </c>
      <c r="E277" s="9"/>
      <c r="F277" s="9"/>
      <c r="G277" s="9"/>
      <c r="H277" s="9"/>
      <c r="I277" s="9"/>
      <c r="J277" s="10">
        <f t="shared" si="15"/>
        <v>16.989999999999998</v>
      </c>
    </row>
    <row r="278" spans="1:10" ht="41.4" outlineLevel="1" x14ac:dyDescent="0.3">
      <c r="A278" s="6" t="s">
        <v>175</v>
      </c>
      <c r="B278" s="7" t="str">
        <f>VLOOKUP(A278,SINTÉTICO!$A$9:$J$125,4,FALSE)</f>
        <v>TUBO PVC, SERIE NORMAL, ESGOTO PREDIAL, DN 100 MM, FORNECIDO E INSTALADO EM RAMAL DE DESCARGA OU RAMAL DE ESGOTO SANITÁRIO. AF_12/2014</v>
      </c>
      <c r="C278" s="8" t="str">
        <f>VLOOKUP(A278,SINTÉTICO!$A$9:$J$125,5,FALSE)</f>
        <v>M</v>
      </c>
      <c r="D278" s="9">
        <v>2.59</v>
      </c>
      <c r="E278" s="9"/>
      <c r="F278" s="9"/>
      <c r="G278" s="9"/>
      <c r="H278" s="9"/>
      <c r="I278" s="9"/>
      <c r="J278" s="10">
        <f t="shared" si="15"/>
        <v>2.59</v>
      </c>
    </row>
    <row r="279" spans="1:10" s="30" customFormat="1" x14ac:dyDescent="0.3">
      <c r="A279" s="34"/>
      <c r="B279" s="35"/>
      <c r="C279" s="35"/>
      <c r="D279" s="35"/>
      <c r="E279" s="35"/>
      <c r="F279" s="35"/>
      <c r="G279" s="35"/>
      <c r="H279" s="35"/>
      <c r="I279" s="35"/>
      <c r="J279" s="36"/>
    </row>
    <row r="280" spans="1:10" s="30" customFormat="1" x14ac:dyDescent="0.3">
      <c r="A280" s="26" t="s">
        <v>485</v>
      </c>
      <c r="B280" s="27" t="str">
        <f>VLOOKUP(A280,SINTÉTICO!$A$9:$J$125,4,FALSE)</f>
        <v>FOSSA E SUMIDOURO</v>
      </c>
      <c r="C280" s="28"/>
      <c r="D280" s="28"/>
      <c r="E280" s="28"/>
      <c r="F280" s="28"/>
      <c r="G280" s="28"/>
      <c r="H280" s="28"/>
      <c r="I280" s="28"/>
      <c r="J280" s="29"/>
    </row>
    <row r="281" spans="1:10" s="30" customFormat="1" ht="27.6" outlineLevel="1" x14ac:dyDescent="0.3">
      <c r="A281" s="31" t="s">
        <v>22</v>
      </c>
      <c r="B281" s="32" t="s">
        <v>23</v>
      </c>
      <c r="C281" s="32" t="s">
        <v>24</v>
      </c>
      <c r="D281" s="32" t="s">
        <v>193</v>
      </c>
      <c r="E281" s="32"/>
      <c r="F281" s="32"/>
      <c r="G281" s="32"/>
      <c r="H281" s="32"/>
      <c r="I281" s="32"/>
      <c r="J281" s="33" t="s">
        <v>25</v>
      </c>
    </row>
    <row r="282" spans="1:10" outlineLevel="1" x14ac:dyDescent="0.3">
      <c r="A282" s="6" t="s">
        <v>486</v>
      </c>
      <c r="B282" s="7" t="str">
        <f>VLOOKUP(A282,SINTÉTICO!$A$9:$J$125,4,FALSE)</f>
        <v>Sumidouro em alvenaria c/ tpo.em concreto - cap= 30 pessoas</v>
      </c>
      <c r="C282" s="8" t="str">
        <f>VLOOKUP(A282,SINTÉTICO!$A$9:$J$125,5,FALSE)</f>
        <v>UN</v>
      </c>
      <c r="D282" s="9">
        <v>1</v>
      </c>
      <c r="E282" s="9"/>
      <c r="F282" s="9"/>
      <c r="G282" s="9"/>
      <c r="H282" s="9"/>
      <c r="I282" s="9"/>
      <c r="J282" s="10">
        <f>D282</f>
        <v>1</v>
      </c>
    </row>
    <row r="283" spans="1:10" outlineLevel="1" x14ac:dyDescent="0.3">
      <c r="A283" s="6" t="s">
        <v>487</v>
      </c>
      <c r="B283" s="7" t="str">
        <f>VLOOKUP(A283,SINTÉTICO!$A$9:$J$125,4,FALSE)</f>
        <v>Fossa septica em concreto armado - cap= 30 pessoas</v>
      </c>
      <c r="C283" s="8" t="str">
        <f>VLOOKUP(A283,SINTÉTICO!$A$9:$J$125,5,FALSE)</f>
        <v>UN</v>
      </c>
      <c r="D283" s="9">
        <v>1</v>
      </c>
      <c r="E283" s="9"/>
      <c r="F283" s="9"/>
      <c r="G283" s="9"/>
      <c r="H283" s="9"/>
      <c r="I283" s="9"/>
      <c r="J283" s="10">
        <f t="shared" ref="J283" si="16">D283</f>
        <v>1</v>
      </c>
    </row>
    <row r="284" spans="1:10" ht="14.4" thickBot="1" x14ac:dyDescent="0.35">
      <c r="A284" s="11"/>
      <c r="B284" s="12"/>
      <c r="C284" s="13"/>
      <c r="D284" s="13"/>
      <c r="E284" s="13"/>
      <c r="F284" s="13"/>
      <c r="G284" s="13"/>
      <c r="H284" s="13"/>
      <c r="I284" s="13"/>
      <c r="J284" s="14"/>
    </row>
    <row r="285" spans="1:10" x14ac:dyDescent="0.3">
      <c r="A285" s="15">
        <v>9</v>
      </c>
      <c r="B285" s="16" t="str">
        <f>VLOOKUP(A285,SINTÉTICO!$A$9:$J$125,4,FALSE)</f>
        <v>INSTALAÇÕES ELÉTRICAS</v>
      </c>
      <c r="C285" s="17"/>
      <c r="D285" s="17"/>
      <c r="E285" s="17"/>
      <c r="F285" s="17"/>
      <c r="G285" s="17"/>
      <c r="H285" s="17"/>
      <c r="I285" s="17"/>
      <c r="J285" s="18"/>
    </row>
    <row r="286" spans="1:10" s="30" customFormat="1" x14ac:dyDescent="0.3">
      <c r="A286" s="26" t="s">
        <v>176</v>
      </c>
      <c r="B286" s="27" t="str">
        <f>VLOOKUP(A286,SINTÉTICO!$A$9:$J$125,4,FALSE)</f>
        <v>QUADROS E DISJUNTORES</v>
      </c>
      <c r="C286" s="28"/>
      <c r="D286" s="28"/>
      <c r="E286" s="28"/>
      <c r="F286" s="28"/>
      <c r="G286" s="28"/>
      <c r="H286" s="28"/>
      <c r="I286" s="28"/>
      <c r="J286" s="29"/>
    </row>
    <row r="287" spans="1:10" s="30" customFormat="1" ht="27.6" outlineLevel="1" x14ac:dyDescent="0.3">
      <c r="A287" s="31" t="s">
        <v>22</v>
      </c>
      <c r="B287" s="32" t="s">
        <v>23</v>
      </c>
      <c r="C287" s="32" t="s">
        <v>24</v>
      </c>
      <c r="D287" s="32" t="s">
        <v>193</v>
      </c>
      <c r="E287" s="32"/>
      <c r="F287" s="32"/>
      <c r="G287" s="32"/>
      <c r="H287" s="32"/>
      <c r="I287" s="32"/>
      <c r="J287" s="33" t="s">
        <v>25</v>
      </c>
    </row>
    <row r="288" spans="1:10" outlineLevel="1" x14ac:dyDescent="0.3">
      <c r="A288" s="6" t="s">
        <v>197</v>
      </c>
      <c r="B288" s="7" t="str">
        <f>VLOOKUP(A288,SINTÉTICO!$A$9:$J$125,4,FALSE)</f>
        <v>Quadro de mediçao bifasico (c/ disjuntor)</v>
      </c>
      <c r="C288" s="8" t="str">
        <f>VLOOKUP(A288,SINTÉTICO!$A$9:$J$125,5,FALSE)</f>
        <v>UN</v>
      </c>
      <c r="D288" s="9">
        <v>1</v>
      </c>
      <c r="E288" s="9"/>
      <c r="F288" s="9"/>
      <c r="G288" s="9"/>
      <c r="H288" s="9"/>
      <c r="I288" s="9"/>
      <c r="J288" s="10">
        <f>D288</f>
        <v>1</v>
      </c>
    </row>
    <row r="289" spans="1:10" outlineLevel="1" x14ac:dyDescent="0.3">
      <c r="A289" s="6" t="s">
        <v>198</v>
      </c>
      <c r="B289" s="7" t="str">
        <f>VLOOKUP(A289,SINTÉTICO!$A$9:$J$125,4,FALSE)</f>
        <v>Centro de distribuiçao p/ 12 disjuntores (c/ barramento)</v>
      </c>
      <c r="C289" s="8" t="str">
        <f>VLOOKUP(A289,SINTÉTICO!$A$9:$J$125,5,FALSE)</f>
        <v>UN</v>
      </c>
      <c r="D289" s="9">
        <v>1</v>
      </c>
      <c r="E289" s="9"/>
      <c r="F289" s="9"/>
      <c r="G289" s="9"/>
      <c r="H289" s="9"/>
      <c r="I289" s="9"/>
      <c r="J289" s="10">
        <f>D289</f>
        <v>1</v>
      </c>
    </row>
    <row r="290" spans="1:10" ht="27.6" outlineLevel="1" x14ac:dyDescent="0.3">
      <c r="A290" s="6" t="s">
        <v>199</v>
      </c>
      <c r="B290" s="7" t="str">
        <f>VLOOKUP(A290,SINTÉTICO!$A$9:$J$125,4,FALSE)</f>
        <v>DISJUNTOR MONOPOLAR TIPO DIN, CORRENTE NOMINAL DE 10A - FORNECIMENTO E INSTALAÇÃO. AF_10/2020</v>
      </c>
      <c r="C290" s="8" t="str">
        <f>VLOOKUP(A290,SINTÉTICO!$A$9:$J$125,5,FALSE)</f>
        <v>UN</v>
      </c>
      <c r="D290" s="9">
        <v>4</v>
      </c>
      <c r="E290" s="9"/>
      <c r="F290" s="9">
        <f>0.6/3</f>
        <v>0.2</v>
      </c>
      <c r="G290" s="9"/>
      <c r="H290" s="9"/>
      <c r="I290" s="9"/>
      <c r="J290" s="10">
        <f>D290</f>
        <v>4</v>
      </c>
    </row>
    <row r="291" spans="1:10" ht="27.6" outlineLevel="1" x14ac:dyDescent="0.3">
      <c r="A291" s="6" t="s">
        <v>200</v>
      </c>
      <c r="B291" s="7" t="str">
        <f>VLOOKUP(A291,SINTÉTICO!$A$9:$J$125,4,FALSE)</f>
        <v>DISJUNTOR MONOPOLAR TIPO DIN, CORRENTE NOMINAL DE 40A - FORNECIMENTO E INSTALAÇÃO. AF_10/2020</v>
      </c>
      <c r="C291" s="8" t="str">
        <f>VLOOKUP(A291,SINTÉTICO!$A$9:$J$125,5,FALSE)</f>
        <v>UN</v>
      </c>
      <c r="D291" s="9">
        <v>1</v>
      </c>
      <c r="E291" s="9"/>
      <c r="F291" s="9"/>
      <c r="G291" s="9"/>
      <c r="H291" s="9"/>
      <c r="I291" s="9"/>
      <c r="J291" s="10">
        <f t="shared" ref="J291:J293" si="17">D291</f>
        <v>1</v>
      </c>
    </row>
    <row r="292" spans="1:10" ht="27.6" outlineLevel="1" x14ac:dyDescent="0.3">
      <c r="A292" s="6" t="s">
        <v>201</v>
      </c>
      <c r="B292" s="7" t="str">
        <f>VLOOKUP(A292,SINTÉTICO!$A$9:$J$125,4,FALSE)</f>
        <v>DISPOSITIVO DPS, 1 POLO, TENSAO MAXIMA DE 275 V, CORRENTE MAXIMA DE *45*KA</v>
      </c>
      <c r="C292" s="8" t="str">
        <f>VLOOKUP(A292,SINTÉTICO!$A$9:$J$125,5,FALSE)</f>
        <v>UN</v>
      </c>
      <c r="D292" s="9">
        <v>6</v>
      </c>
      <c r="E292" s="9"/>
      <c r="F292" s="9"/>
      <c r="G292" s="9"/>
      <c r="H292" s="9"/>
      <c r="I292" s="9"/>
      <c r="J292" s="10">
        <f t="shared" si="17"/>
        <v>6</v>
      </c>
    </row>
    <row r="293" spans="1:10" outlineLevel="1" x14ac:dyDescent="0.3">
      <c r="A293" s="6" t="s">
        <v>253</v>
      </c>
      <c r="B293" s="7" t="str">
        <f>VLOOKUP(A293,SINTÉTICO!$A$9:$J$125,4,FALSE)</f>
        <v>DISPOSITIVO BIPOLAR DR, SENSIBILIDADE DE 30 MA, CORRENTE DE 40 A</v>
      </c>
      <c r="C293" s="8" t="str">
        <f>VLOOKUP(A293,SINTÉTICO!$A$9:$J$125,5,FALSE)</f>
        <v>UN</v>
      </c>
      <c r="D293" s="9">
        <v>1</v>
      </c>
      <c r="E293" s="9"/>
      <c r="F293" s="9"/>
      <c r="G293" s="9"/>
      <c r="H293" s="9"/>
      <c r="I293" s="9"/>
      <c r="J293" s="10">
        <f t="shared" si="17"/>
        <v>1</v>
      </c>
    </row>
    <row r="294" spans="1:10" s="30" customFormat="1" x14ac:dyDescent="0.3">
      <c r="A294" s="34"/>
      <c r="B294" s="35"/>
      <c r="C294" s="35"/>
      <c r="D294" s="35"/>
      <c r="E294" s="35"/>
      <c r="F294" s="35"/>
      <c r="G294" s="35"/>
      <c r="H294" s="35"/>
      <c r="I294" s="35"/>
      <c r="J294" s="36"/>
    </row>
    <row r="295" spans="1:10" s="30" customFormat="1" x14ac:dyDescent="0.3">
      <c r="A295" s="26" t="s">
        <v>177</v>
      </c>
      <c r="B295" s="27" t="str">
        <f>VLOOKUP(A295,SINTÉTICO!$A$9:$J$125,4,FALSE)</f>
        <v>TOMADAS E INTERRUPTORES</v>
      </c>
      <c r="C295" s="28"/>
      <c r="D295" s="28"/>
      <c r="E295" s="28"/>
      <c r="F295" s="28"/>
      <c r="G295" s="28"/>
      <c r="H295" s="28"/>
      <c r="I295" s="28"/>
      <c r="J295" s="29"/>
    </row>
    <row r="296" spans="1:10" s="30" customFormat="1" ht="27.6" outlineLevel="1" x14ac:dyDescent="0.3">
      <c r="A296" s="31" t="s">
        <v>22</v>
      </c>
      <c r="B296" s="32" t="s">
        <v>23</v>
      </c>
      <c r="C296" s="32" t="s">
        <v>24</v>
      </c>
      <c r="D296" s="32" t="s">
        <v>193</v>
      </c>
      <c r="E296" s="32"/>
      <c r="F296" s="32"/>
      <c r="G296" s="32"/>
      <c r="H296" s="32"/>
      <c r="I296" s="32"/>
      <c r="J296" s="33" t="s">
        <v>25</v>
      </c>
    </row>
    <row r="297" spans="1:10" ht="27.6" outlineLevel="1" x14ac:dyDescent="0.3">
      <c r="A297" s="6" t="s">
        <v>202</v>
      </c>
      <c r="B297" s="7" t="str">
        <f>VLOOKUP(A297,SINTÉTICO!$A$9:$J$125,4,FALSE)</f>
        <v>TOMADA MÉDIA DE EMBUTIR (1 MÓDULO), 2P+T 10 A, INCLUINDO SUPORTE E PLACA - FORNECIMENTO E INSTALAÇÃO. AF_12/2015</v>
      </c>
      <c r="C297" s="8" t="str">
        <f>VLOOKUP(A297,SINTÉTICO!$A$9:$J$125,5,FALSE)</f>
        <v>UN</v>
      </c>
      <c r="D297" s="9">
        <v>14</v>
      </c>
      <c r="E297" s="9"/>
      <c r="F297" s="9"/>
      <c r="G297" s="9"/>
      <c r="H297" s="9"/>
      <c r="I297" s="9"/>
      <c r="J297" s="10">
        <f>D297</f>
        <v>14</v>
      </c>
    </row>
    <row r="298" spans="1:10" ht="27.6" outlineLevel="1" x14ac:dyDescent="0.3">
      <c r="A298" s="6" t="s">
        <v>203</v>
      </c>
      <c r="B298" s="7" t="str">
        <f>VLOOKUP(A298,SINTÉTICO!$A$9:$J$125,4,FALSE)</f>
        <v>INTERRUPTOR SIMPLES (1 MÓDULO), 10A/250V, INCLUINDO SUPORTE E PLACA - FORNECIMENTO E INSTALAÇÃO. AF_12/2015</v>
      </c>
      <c r="C298" s="8" t="str">
        <f>VLOOKUP(A298,SINTÉTICO!$A$9:$J$125,5,FALSE)</f>
        <v>UN</v>
      </c>
      <c r="D298" s="9">
        <v>10</v>
      </c>
      <c r="E298" s="9"/>
      <c r="F298" s="9"/>
      <c r="G298" s="9"/>
      <c r="H298" s="9"/>
      <c r="I298" s="9"/>
      <c r="J298" s="10">
        <f t="shared" ref="J298:J299" si="18">D298</f>
        <v>10</v>
      </c>
    </row>
    <row r="299" spans="1:10" ht="27.6" outlineLevel="1" x14ac:dyDescent="0.3">
      <c r="A299" s="6" t="s">
        <v>204</v>
      </c>
      <c r="B299" s="7" t="str">
        <f>VLOOKUP(A299,SINTÉTICO!$A$9:$J$125,4,FALSE)</f>
        <v>INTERRUPTOR SIMPLES (2 MÓDULOS), 10A/250V, INCLUINDO SUPORTE E PLACA - FORNECIMENTO E INSTALAÇÃO. AF_12/2015</v>
      </c>
      <c r="C299" s="8" t="str">
        <f>VLOOKUP(A299,SINTÉTICO!$A$9:$J$125,5,FALSE)</f>
        <v>UN</v>
      </c>
      <c r="D299" s="9">
        <v>6</v>
      </c>
      <c r="E299" s="9"/>
      <c r="F299" s="9"/>
      <c r="G299" s="9"/>
      <c r="H299" s="9"/>
      <c r="I299" s="9"/>
      <c r="J299" s="10">
        <f t="shared" si="18"/>
        <v>6</v>
      </c>
    </row>
    <row r="300" spans="1:10" s="30" customFormat="1" x14ac:dyDescent="0.3">
      <c r="A300" s="34"/>
      <c r="B300" s="35"/>
      <c r="C300" s="35"/>
      <c r="D300" s="35"/>
      <c r="E300" s="35"/>
      <c r="F300" s="35"/>
      <c r="G300" s="35"/>
      <c r="H300" s="35"/>
      <c r="I300" s="35"/>
      <c r="J300" s="36"/>
    </row>
    <row r="301" spans="1:10" s="30" customFormat="1" x14ac:dyDescent="0.3">
      <c r="A301" s="26" t="s">
        <v>178</v>
      </c>
      <c r="B301" s="27" t="str">
        <f>VLOOKUP(A301,SINTÉTICO!$A$9:$J$125,4,FALSE)</f>
        <v>LUMINÁRIAS</v>
      </c>
      <c r="C301" s="28"/>
      <c r="D301" s="28"/>
      <c r="E301" s="28"/>
      <c r="F301" s="28"/>
      <c r="G301" s="28"/>
      <c r="H301" s="28"/>
      <c r="I301" s="28"/>
      <c r="J301" s="29"/>
    </row>
    <row r="302" spans="1:10" s="30" customFormat="1" ht="27.6" outlineLevel="1" x14ac:dyDescent="0.3">
      <c r="A302" s="31" t="s">
        <v>22</v>
      </c>
      <c r="B302" s="32" t="s">
        <v>23</v>
      </c>
      <c r="C302" s="32" t="s">
        <v>24</v>
      </c>
      <c r="D302" s="32" t="s">
        <v>193</v>
      </c>
      <c r="E302" s="32"/>
      <c r="F302" s="32"/>
      <c r="G302" s="32"/>
      <c r="H302" s="32"/>
      <c r="I302" s="32"/>
      <c r="J302" s="33" t="s">
        <v>25</v>
      </c>
    </row>
    <row r="303" spans="1:10" ht="27.6" outlineLevel="1" x14ac:dyDescent="0.3">
      <c r="A303" s="6" t="s">
        <v>205</v>
      </c>
      <c r="B303" s="7" t="str">
        <f>VLOOKUP(A303,SINTÉTICO!$A$9:$J$125,4,FALSE)</f>
        <v>LUMINÁRIA TIPO SPOT, DE SOBREPOR, COM 1 LÂMPADA LED DE 9/10 W - FORNECIMENTO E INSTALAÇÃO.</v>
      </c>
      <c r="C303" s="8" t="str">
        <f>VLOOKUP(A303,SINTÉTICO!$A$9:$J$125,5,FALSE)</f>
        <v>UN</v>
      </c>
      <c r="D303" s="9">
        <v>4</v>
      </c>
      <c r="E303" s="9"/>
      <c r="F303" s="9"/>
      <c r="G303" s="9"/>
      <c r="H303" s="9"/>
      <c r="I303" s="9"/>
      <c r="J303" s="10">
        <f>D303</f>
        <v>4</v>
      </c>
    </row>
    <row r="304" spans="1:10" ht="27.6" outlineLevel="1" x14ac:dyDescent="0.3">
      <c r="A304" s="6" t="s">
        <v>206</v>
      </c>
      <c r="B304" s="7" t="str">
        <f>VLOOKUP(A304,SINTÉTICO!$A$9:$J$125,4,FALSE)</f>
        <v>LUMINÁRIA TIPO SPOT, DE SOBREPOR, COM 1 LÂMPADA LED DE 18/20 W - FORNECIMENTO E INSTALAÇÃO.</v>
      </c>
      <c r="C304" s="8" t="str">
        <f>VLOOKUP(A304,SINTÉTICO!$A$9:$J$125,5,FALSE)</f>
        <v>UN</v>
      </c>
      <c r="D304" s="9">
        <v>22</v>
      </c>
      <c r="E304" s="9"/>
      <c r="F304" s="9"/>
      <c r="G304" s="9"/>
      <c r="H304" s="9"/>
      <c r="I304" s="9"/>
      <c r="J304" s="10">
        <f>D304</f>
        <v>22</v>
      </c>
    </row>
    <row r="305" spans="1:10" s="30" customFormat="1" x14ac:dyDescent="0.3">
      <c r="A305" s="34"/>
      <c r="B305" s="35"/>
      <c r="C305" s="35"/>
      <c r="D305" s="35"/>
      <c r="E305" s="35"/>
      <c r="F305" s="35"/>
      <c r="G305" s="35"/>
      <c r="H305" s="35"/>
      <c r="I305" s="35"/>
      <c r="J305" s="36"/>
    </row>
    <row r="306" spans="1:10" s="30" customFormat="1" x14ac:dyDescent="0.3">
      <c r="A306" s="26" t="s">
        <v>179</v>
      </c>
      <c r="B306" s="27" t="str">
        <f>VLOOKUP(A306,SINTÉTICO!$A$9:$J$125,4,FALSE)</f>
        <v>CABOS</v>
      </c>
      <c r="C306" s="28"/>
      <c r="D306" s="28"/>
      <c r="E306" s="28"/>
      <c r="F306" s="28"/>
      <c r="G306" s="28"/>
      <c r="H306" s="28"/>
      <c r="I306" s="28"/>
      <c r="J306" s="29"/>
    </row>
    <row r="307" spans="1:10" s="30" customFormat="1" ht="27.6" outlineLevel="1" x14ac:dyDescent="0.3">
      <c r="A307" s="31" t="s">
        <v>22</v>
      </c>
      <c r="B307" s="32" t="s">
        <v>23</v>
      </c>
      <c r="C307" s="32" t="s">
        <v>24</v>
      </c>
      <c r="D307" s="32" t="s">
        <v>193</v>
      </c>
      <c r="E307" s="32"/>
      <c r="F307" s="32"/>
      <c r="G307" s="32"/>
      <c r="H307" s="32"/>
      <c r="I307" s="32"/>
      <c r="J307" s="33" t="s">
        <v>25</v>
      </c>
    </row>
    <row r="308" spans="1:10" ht="41.4" outlineLevel="1" x14ac:dyDescent="0.3">
      <c r="A308" s="6" t="s">
        <v>180</v>
      </c>
      <c r="B308" s="7" t="str">
        <f>VLOOKUP(A308,SINTÉTICO!$A$9:$J$125,4,FALSE)</f>
        <v>CABO DE COBRE FLEXÍVEL ISOLADO, 1,5 MM², ANTI-CHAMA 0,6/1,0 KV, PARA CIRCUITOS TERMINAIS - FORNECIMENTO E INSTALAÇÃO. AF_12/2015</v>
      </c>
      <c r="C308" s="8" t="str">
        <f>VLOOKUP(A308,SINTÉTICO!$A$9:$J$125,5,FALSE)</f>
        <v>M</v>
      </c>
      <c r="D308" s="9">
        <v>364.6</v>
      </c>
      <c r="E308" s="9"/>
      <c r="F308" s="9"/>
      <c r="G308" s="9"/>
      <c r="H308" s="9"/>
      <c r="I308" s="9"/>
      <c r="J308" s="10">
        <f>D308</f>
        <v>364.6</v>
      </c>
    </row>
    <row r="309" spans="1:10" ht="41.4" outlineLevel="1" x14ac:dyDescent="0.3">
      <c r="A309" s="6" t="s">
        <v>181</v>
      </c>
      <c r="B309" s="7" t="str">
        <f>VLOOKUP(A309,SINTÉTICO!$A$9:$J$125,4,FALSE)</f>
        <v>CABO DE COBRE FLEXÍVEL ISOLADO, 2,5 MM², ANTI-CHAMA 0,6/1,0 KV, PARA CIRCUITOS TERMINAIS - FORNECIMENTO E INSTALAÇÃO. AF_12/2015</v>
      </c>
      <c r="C309" s="8" t="str">
        <f>VLOOKUP(A309,SINTÉTICO!$A$9:$J$125,5,FALSE)</f>
        <v>M</v>
      </c>
      <c r="D309" s="9">
        <v>262.5</v>
      </c>
      <c r="E309" s="9"/>
      <c r="F309" s="9"/>
      <c r="G309" s="9"/>
      <c r="H309" s="9"/>
      <c r="I309" s="9"/>
      <c r="J309" s="10">
        <f t="shared" ref="J309:J310" si="19">D309</f>
        <v>262.5</v>
      </c>
    </row>
    <row r="310" spans="1:10" ht="41.4" outlineLevel="1" x14ac:dyDescent="0.3">
      <c r="A310" s="6" t="s">
        <v>182</v>
      </c>
      <c r="B310" s="7" t="str">
        <f>VLOOKUP(A310,SINTÉTICO!$A$9:$J$125,4,FALSE)</f>
        <v>CABO DE COBRE FLEXÍVEL ISOLADO, 10 MM², ANTI-CHAMA 0,6/1,0 KV, PARA CIRCUITOS TERMINAIS - FORNECIMENTO E INSTALAÇÃO. AF_12/2015</v>
      </c>
      <c r="C310" s="8" t="str">
        <f>VLOOKUP(A310,SINTÉTICO!$A$9:$J$125,5,FALSE)</f>
        <v>M</v>
      </c>
      <c r="D310" s="9">
        <v>51.5</v>
      </c>
      <c r="E310" s="9"/>
      <c r="F310" s="9"/>
      <c r="G310" s="9"/>
      <c r="H310" s="9"/>
      <c r="I310" s="9"/>
      <c r="J310" s="10">
        <f t="shared" si="19"/>
        <v>51.5</v>
      </c>
    </row>
    <row r="311" spans="1:10" s="30" customFormat="1" x14ac:dyDescent="0.3">
      <c r="A311" s="34"/>
      <c r="B311" s="35"/>
      <c r="C311" s="35"/>
      <c r="D311" s="35"/>
      <c r="E311" s="35"/>
      <c r="F311" s="35"/>
      <c r="G311" s="35"/>
      <c r="H311" s="35"/>
      <c r="I311" s="35"/>
      <c r="J311" s="36"/>
    </row>
    <row r="312" spans="1:10" s="30" customFormat="1" x14ac:dyDescent="0.3">
      <c r="A312" s="26" t="s">
        <v>183</v>
      </c>
      <c r="B312" s="27" t="str">
        <f>VLOOKUP(A312,SINTÉTICO!$A$9:$J$125,4,FALSE)</f>
        <v>ELETRODUTOS E ELETROCALHA</v>
      </c>
      <c r="C312" s="28"/>
      <c r="D312" s="28"/>
      <c r="E312" s="28"/>
      <c r="F312" s="28"/>
      <c r="G312" s="28"/>
      <c r="H312" s="28"/>
      <c r="I312" s="28"/>
      <c r="J312" s="29"/>
    </row>
    <row r="313" spans="1:10" s="30" customFormat="1" ht="27.6" outlineLevel="1" x14ac:dyDescent="0.3">
      <c r="A313" s="31" t="s">
        <v>22</v>
      </c>
      <c r="B313" s="32" t="s">
        <v>23</v>
      </c>
      <c r="C313" s="32" t="s">
        <v>24</v>
      </c>
      <c r="D313" s="32" t="s">
        <v>193</v>
      </c>
      <c r="E313" s="32"/>
      <c r="F313" s="32"/>
      <c r="G313" s="32"/>
      <c r="H313" s="32"/>
      <c r="I313" s="32"/>
      <c r="J313" s="33" t="s">
        <v>25</v>
      </c>
    </row>
    <row r="314" spans="1:10" ht="41.4" outlineLevel="1" x14ac:dyDescent="0.3">
      <c r="A314" s="6" t="s">
        <v>184</v>
      </c>
      <c r="B314" s="7" t="str">
        <f>VLOOKUP(A314,SINTÉTICO!$A$9:$J$125,4,FALSE)</f>
        <v>ELETRODUTO FLEXÍVEL CORRUGADO, PVC, DN 25 MM (3/4"), PARA CIRCUITOS TERMINAIS, INSTALADO EM PAREDE - FORNECIMENTO E INSTALAÇÃO. AF_12/2015</v>
      </c>
      <c r="C314" s="8" t="str">
        <f>VLOOKUP(A314,SINTÉTICO!$A$9:$J$125,5,FALSE)</f>
        <v>M</v>
      </c>
      <c r="D314" s="9">
        <v>118.3</v>
      </c>
      <c r="E314" s="9"/>
      <c r="F314" s="9"/>
      <c r="G314" s="9"/>
      <c r="H314" s="9"/>
      <c r="I314" s="9"/>
      <c r="J314" s="10">
        <f>D314</f>
        <v>118.3</v>
      </c>
    </row>
    <row r="315" spans="1:10" ht="41.4" outlineLevel="1" x14ac:dyDescent="0.3">
      <c r="A315" s="6" t="s">
        <v>185</v>
      </c>
      <c r="B315" s="7" t="str">
        <f>VLOOKUP(A315,SINTÉTICO!$A$9:$J$125,4,FALSE)</f>
        <v>ELETRODUTO FLEXÍVEL CORRUGADO, PVC, DN 32 MM (1"), PARA CIRCUITOS TERMINAIS, INSTALADO EM PAREDE - FORNECIMENTO E INSTALAÇÃO. AF_12/2015</v>
      </c>
      <c r="C315" s="8" t="str">
        <f>VLOOKUP(A315,SINTÉTICO!$A$9:$J$125,5,FALSE)</f>
        <v>M</v>
      </c>
      <c r="D315" s="9">
        <v>16.3</v>
      </c>
      <c r="E315" s="9"/>
      <c r="F315" s="9"/>
      <c r="G315" s="9"/>
      <c r="H315" s="9"/>
      <c r="I315" s="9"/>
      <c r="J315" s="10">
        <f t="shared" ref="J315:J316" si="20">D315</f>
        <v>16.3</v>
      </c>
    </row>
    <row r="316" spans="1:10" ht="27.6" outlineLevel="1" x14ac:dyDescent="0.3">
      <c r="A316" s="6" t="s">
        <v>186</v>
      </c>
      <c r="B316" s="7" t="str">
        <f>VLOOKUP(A316,SINTÉTICO!$A$9:$J$125,4,FALSE)</f>
        <v>ELETRODUTO FLEXÍVEL CORRUGADO, PEAD, DN 50 (1 ½)  - FORNECIMENTO E INSTALAÇÃO. AF_04/2016</v>
      </c>
      <c r="C316" s="8" t="str">
        <f>VLOOKUP(A316,SINTÉTICO!$A$9:$J$125,5,FALSE)</f>
        <v>M</v>
      </c>
      <c r="D316" s="9">
        <v>26.6</v>
      </c>
      <c r="E316" s="9"/>
      <c r="F316" s="9"/>
      <c r="G316" s="9"/>
      <c r="H316" s="9"/>
      <c r="I316" s="9"/>
      <c r="J316" s="10">
        <f t="shared" si="20"/>
        <v>26.6</v>
      </c>
    </row>
    <row r="317" spans="1:10" outlineLevel="1" x14ac:dyDescent="0.3">
      <c r="A317" s="6" t="s">
        <v>270</v>
      </c>
      <c r="B317" s="7" t="str">
        <f>VLOOKUP(A317,SINTÉTICO!$A$9:$J$125,4,FALSE)</f>
        <v>ELETROCALHA DE METAL CURVE "U" PERF. 50X50</v>
      </c>
      <c r="C317" s="8" t="str">
        <f>VLOOKUP(A317,SINTÉTICO!$A$9:$J$125,5,FALSE)</f>
        <v>M</v>
      </c>
      <c r="D317" s="9">
        <v>7.4</v>
      </c>
      <c r="E317" s="9"/>
      <c r="F317" s="9"/>
      <c r="G317" s="9"/>
      <c r="H317" s="9"/>
      <c r="I317" s="9"/>
      <c r="J317" s="10">
        <f t="shared" ref="J317" si="21">D317</f>
        <v>7.4</v>
      </c>
    </row>
    <row r="318" spans="1:10" s="30" customFormat="1" x14ac:dyDescent="0.3">
      <c r="A318" s="34"/>
      <c r="B318" s="35"/>
      <c r="C318" s="35"/>
      <c r="D318" s="35"/>
      <c r="E318" s="35"/>
      <c r="F318" s="35"/>
      <c r="G318" s="35"/>
      <c r="H318" s="35"/>
      <c r="I318" s="35"/>
      <c r="J318" s="36"/>
    </row>
    <row r="319" spans="1:10" s="30" customFormat="1" x14ac:dyDescent="0.3">
      <c r="A319" s="26" t="s">
        <v>187</v>
      </c>
      <c r="B319" s="27" t="str">
        <f>VLOOKUP(A319,SINTÉTICO!$A$9:$J$125,4,FALSE)</f>
        <v>EQUIPAMENTOS</v>
      </c>
      <c r="C319" s="28"/>
      <c r="D319" s="28"/>
      <c r="E319" s="28"/>
      <c r="F319" s="28"/>
      <c r="G319" s="28"/>
      <c r="H319" s="28"/>
      <c r="I319" s="28"/>
      <c r="J319" s="29"/>
    </row>
    <row r="320" spans="1:10" s="30" customFormat="1" ht="27.6" outlineLevel="1" x14ac:dyDescent="0.3">
      <c r="A320" s="31" t="s">
        <v>22</v>
      </c>
      <c r="B320" s="32" t="s">
        <v>23</v>
      </c>
      <c r="C320" s="32" t="s">
        <v>24</v>
      </c>
      <c r="D320" s="32" t="s">
        <v>193</v>
      </c>
      <c r="E320" s="32"/>
      <c r="F320" s="32"/>
      <c r="G320" s="32"/>
      <c r="H320" s="32"/>
      <c r="I320" s="32"/>
      <c r="J320" s="33" t="s">
        <v>25</v>
      </c>
    </row>
    <row r="321" spans="1:10" outlineLevel="1" x14ac:dyDescent="0.3">
      <c r="A321" s="6" t="s">
        <v>188</v>
      </c>
      <c r="B321" s="7" t="str">
        <f>VLOOKUP(A321,SINTÉTICO!$A$9:$J$125,4,FALSE)</f>
        <v>Ventilador de teto</v>
      </c>
      <c r="C321" s="8" t="str">
        <f>VLOOKUP(A321,SINTÉTICO!$A$9:$J$125,5,FALSE)</f>
        <v>UN</v>
      </c>
      <c r="D321" s="9">
        <v>7</v>
      </c>
      <c r="E321" s="9"/>
      <c r="F321" s="9"/>
      <c r="G321" s="9"/>
      <c r="H321" s="9"/>
      <c r="I321" s="9"/>
      <c r="J321" s="10">
        <f>D321</f>
        <v>7</v>
      </c>
    </row>
    <row r="322" spans="1:10" s="30" customFormat="1" x14ac:dyDescent="0.3">
      <c r="A322" s="34"/>
      <c r="B322" s="35"/>
      <c r="C322" s="35"/>
      <c r="D322" s="35"/>
      <c r="E322" s="35"/>
      <c r="F322" s="35"/>
      <c r="G322" s="35"/>
      <c r="H322" s="35"/>
      <c r="I322" s="35"/>
      <c r="J322" s="36"/>
    </row>
    <row r="323" spans="1:10" s="30" customFormat="1" x14ac:dyDescent="0.3">
      <c r="A323" s="26" t="s">
        <v>241</v>
      </c>
      <c r="B323" s="27" t="str">
        <f>VLOOKUP(A323,SINTÉTICO!$A$9:$J$125,4,FALSE)</f>
        <v>DIVERSOS</v>
      </c>
      <c r="C323" s="28"/>
      <c r="D323" s="28"/>
      <c r="E323" s="28"/>
      <c r="F323" s="28"/>
      <c r="G323" s="28"/>
      <c r="H323" s="28"/>
      <c r="I323" s="28"/>
      <c r="J323" s="29"/>
    </row>
    <row r="324" spans="1:10" s="30" customFormat="1" ht="27.6" outlineLevel="1" x14ac:dyDescent="0.3">
      <c r="A324" s="31" t="s">
        <v>22</v>
      </c>
      <c r="B324" s="32" t="s">
        <v>23</v>
      </c>
      <c r="C324" s="32" t="s">
        <v>24</v>
      </c>
      <c r="D324" s="32" t="s">
        <v>193</v>
      </c>
      <c r="E324" s="32"/>
      <c r="F324" s="32"/>
      <c r="G324" s="32"/>
      <c r="H324" s="32"/>
      <c r="I324" s="32"/>
      <c r="J324" s="33" t="s">
        <v>25</v>
      </c>
    </row>
    <row r="325" spans="1:10" ht="27.6" outlineLevel="1" x14ac:dyDescent="0.3">
      <c r="A325" s="6" t="s">
        <v>242</v>
      </c>
      <c r="B325" s="7" t="str">
        <f>VLOOKUP(A325,SINTÉTICO!$A$9:$J$125,4,FALSE)</f>
        <v>CAIXA RETANGULAR 4" X 2" BAIXA (0,30 M DO PISO), PVC, INSTALADA EM PAREDE - FORNECIMENTO E INSTALAÇÃO. AF_12/2015</v>
      </c>
      <c r="C325" s="8" t="str">
        <f>VLOOKUP(A325,SINTÉTICO!$A$9:$J$125,5,FALSE)</f>
        <v>UN</v>
      </c>
      <c r="D325" s="9">
        <v>10</v>
      </c>
      <c r="E325" s="9"/>
      <c r="F325" s="9"/>
      <c r="G325" s="9"/>
      <c r="H325" s="9"/>
      <c r="I325" s="9"/>
      <c r="J325" s="10">
        <f t="shared" ref="J325:J328" si="22">D325</f>
        <v>10</v>
      </c>
    </row>
    <row r="326" spans="1:10" ht="27.6" outlineLevel="1" x14ac:dyDescent="0.3">
      <c r="A326" s="6" t="s">
        <v>244</v>
      </c>
      <c r="B326" s="7" t="str">
        <f>VLOOKUP(A326,SINTÉTICO!$A$9:$J$125,4,FALSE)</f>
        <v>CAIXA RETANGULAR 4" X 2" MÉDIA (1,30 M DO PISO), PVC, INSTALADA EM PAREDE - FORNECIMENTO E INSTALAÇÃO. AF_12/2015</v>
      </c>
      <c r="C326" s="8" t="str">
        <f>VLOOKUP(A326,SINTÉTICO!$A$9:$J$125,5,FALSE)</f>
        <v>UN</v>
      </c>
      <c r="D326" s="9">
        <f>4+16</f>
        <v>20</v>
      </c>
      <c r="E326" s="9"/>
      <c r="F326" s="9"/>
      <c r="G326" s="9"/>
      <c r="H326" s="9"/>
      <c r="I326" s="9"/>
      <c r="J326" s="10">
        <f t="shared" si="22"/>
        <v>20</v>
      </c>
    </row>
    <row r="327" spans="1:10" ht="27.6" outlineLevel="1" x14ac:dyDescent="0.3">
      <c r="A327" s="6" t="s">
        <v>245</v>
      </c>
      <c r="B327" s="7" t="str">
        <f>VLOOKUP(A327,SINTÉTICO!$A$9:$J$125,4,FALSE)</f>
        <v>CAIXA OCTOGONAL 3" X 3", PVC, INSTALADA EM LAJE - FORNECIMENTO E INSTALAÇÃO. AF_12/2015</v>
      </c>
      <c r="C327" s="8" t="str">
        <f>VLOOKUP(A327,SINTÉTICO!$A$9:$J$125,5,FALSE)</f>
        <v>UN</v>
      </c>
      <c r="D327" s="9">
        <f>26+7</f>
        <v>33</v>
      </c>
      <c r="E327" s="9"/>
      <c r="F327" s="9"/>
      <c r="G327" s="9"/>
      <c r="H327" s="9"/>
      <c r="I327" s="9"/>
      <c r="J327" s="10">
        <f t="shared" si="22"/>
        <v>33</v>
      </c>
    </row>
    <row r="328" spans="1:10" outlineLevel="1" x14ac:dyDescent="0.3">
      <c r="A328" s="6" t="s">
        <v>246</v>
      </c>
      <c r="B328" s="7" t="str">
        <f>VLOOKUP(A328,SINTÉTICO!$A$9:$J$125,4,FALSE)</f>
        <v>Suporte para eletrocalhas</v>
      </c>
      <c r="C328" s="8" t="str">
        <f>VLOOKUP(A328,SINTÉTICO!$A$9:$J$125,5,FALSE)</f>
        <v>UN</v>
      </c>
      <c r="D328" s="9">
        <v>3</v>
      </c>
      <c r="E328" s="9"/>
      <c r="F328" s="9"/>
      <c r="G328" s="9"/>
      <c r="H328" s="9"/>
      <c r="I328" s="9"/>
      <c r="J328" s="10">
        <f t="shared" si="22"/>
        <v>3</v>
      </c>
    </row>
    <row r="329" spans="1:10" s="30" customFormat="1" ht="14.4" thickBot="1" x14ac:dyDescent="0.35">
      <c r="A329" s="34"/>
      <c r="B329" s="35"/>
      <c r="C329" s="35"/>
      <c r="D329" s="35"/>
      <c r="E329" s="35"/>
      <c r="F329" s="35"/>
      <c r="G329" s="35"/>
      <c r="H329" s="35"/>
      <c r="I329" s="35"/>
      <c r="J329" s="36"/>
    </row>
    <row r="330" spans="1:10" x14ac:dyDescent="0.3">
      <c r="A330" s="15">
        <v>10</v>
      </c>
      <c r="B330" s="16" t="str">
        <f>VLOOKUP(A330,SINTÉTICO!$A$9:$J$125,4,FALSE)</f>
        <v>PREVENÇÃO E COMBATE À INCÊNDIO</v>
      </c>
      <c r="C330" s="17"/>
      <c r="D330" s="17"/>
      <c r="E330" s="17"/>
      <c r="F330" s="17"/>
      <c r="G330" s="17"/>
      <c r="H330" s="17"/>
      <c r="I330" s="17"/>
      <c r="J330" s="18"/>
    </row>
    <row r="331" spans="1:10" ht="27.6" outlineLevel="1" x14ac:dyDescent="0.3">
      <c r="A331" s="3" t="s">
        <v>22</v>
      </c>
      <c r="B331" s="4" t="s">
        <v>23</v>
      </c>
      <c r="C331" s="4" t="s">
        <v>24</v>
      </c>
      <c r="D331" s="32" t="s">
        <v>42</v>
      </c>
      <c r="E331" s="4"/>
      <c r="F331" s="4"/>
      <c r="G331" s="4"/>
      <c r="H331" s="4"/>
      <c r="I331" s="4"/>
      <c r="J331" s="5" t="s">
        <v>25</v>
      </c>
    </row>
    <row r="332" spans="1:10" outlineLevel="1" x14ac:dyDescent="0.3">
      <c r="A332" s="6" t="s">
        <v>207</v>
      </c>
      <c r="B332" s="7" t="str">
        <f>VLOOKUP(A332,SINTÉTICO!$A$9:$J$125,4,FALSE)</f>
        <v>Extintor de incêndio ABC -  6Kg</v>
      </c>
      <c r="C332" s="8" t="str">
        <f>VLOOKUP(A332,SINTÉTICO!$A$9:$J$125,5,FALSE)</f>
        <v>UN</v>
      </c>
      <c r="D332" s="9">
        <v>1</v>
      </c>
      <c r="E332" s="9"/>
      <c r="F332" s="9"/>
      <c r="G332" s="9"/>
      <c r="H332" s="9"/>
      <c r="I332" s="9"/>
      <c r="J332" s="10">
        <f>D332</f>
        <v>1</v>
      </c>
    </row>
    <row r="333" spans="1:10" outlineLevel="1" x14ac:dyDescent="0.3">
      <c r="A333" s="6" t="s">
        <v>208</v>
      </c>
      <c r="B333" s="7" t="str">
        <f>VLOOKUP(A333,SINTÉTICO!$A$9:$J$125,4,FALSE)</f>
        <v>Placa de sinalização fotoluminoscente</v>
      </c>
      <c r="C333" s="8" t="str">
        <f>VLOOKUP(A333,SINTÉTICO!$A$9:$J$125,5,FALSE)</f>
        <v>UN</v>
      </c>
      <c r="D333" s="9">
        <v>11</v>
      </c>
      <c r="E333" s="9"/>
      <c r="F333" s="9"/>
      <c r="G333" s="9"/>
      <c r="H333" s="9"/>
      <c r="I333" s="9"/>
      <c r="J333" s="10">
        <f t="shared" ref="J333:J335" si="23">D333</f>
        <v>11</v>
      </c>
    </row>
    <row r="334" spans="1:10" outlineLevel="1" x14ac:dyDescent="0.3">
      <c r="A334" s="6" t="s">
        <v>209</v>
      </c>
      <c r="B334" s="7" t="str">
        <f>VLOOKUP(A334,SINTÉTICO!$A$9:$J$125,4,FALSE)</f>
        <v>Ponto de luz / força (c/tubul., cx. e fiaçao) ate 200W</v>
      </c>
      <c r="C334" s="8" t="str">
        <f>VLOOKUP(A334,SINTÉTICO!$A$9:$J$125,5,FALSE)</f>
        <v>PT</v>
      </c>
      <c r="D334" s="9">
        <v>2</v>
      </c>
      <c r="E334" s="9"/>
      <c r="F334" s="9"/>
      <c r="G334" s="9"/>
      <c r="H334" s="9"/>
      <c r="I334" s="9"/>
      <c r="J334" s="10">
        <f t="shared" si="23"/>
        <v>2</v>
      </c>
    </row>
    <row r="335" spans="1:10" ht="27.6" outlineLevel="1" x14ac:dyDescent="0.3">
      <c r="A335" s="6" t="s">
        <v>210</v>
      </c>
      <c r="B335" s="7" t="str">
        <f>VLOOKUP(A335,SINTÉTICO!$A$9:$J$125,4,FALSE)</f>
        <v>LUMINÁRIA DE EMERGÊNCIA, COM 30 LÂMPADAS LED DE 2 W, SEM REATOR - FORNECIMENTO E INSTALAÇÃO. AF_02/2020</v>
      </c>
      <c r="C335" s="8" t="str">
        <f>VLOOKUP(A335,SINTÉTICO!$A$9:$J$125,5,FALSE)</f>
        <v>UN</v>
      </c>
      <c r="D335" s="9">
        <v>2</v>
      </c>
      <c r="E335" s="9"/>
      <c r="F335" s="9"/>
      <c r="G335" s="9"/>
      <c r="H335" s="9"/>
      <c r="I335" s="9"/>
      <c r="J335" s="10">
        <f t="shared" si="23"/>
        <v>2</v>
      </c>
    </row>
    <row r="336" spans="1:10" ht="14.4" thickBot="1" x14ac:dyDescent="0.35">
      <c r="A336" s="11"/>
      <c r="B336" s="12"/>
      <c r="C336" s="13"/>
      <c r="D336" s="13"/>
      <c r="E336" s="13"/>
      <c r="F336" s="13"/>
      <c r="G336" s="13"/>
      <c r="H336" s="13"/>
      <c r="I336" s="13"/>
      <c r="J336" s="14"/>
    </row>
    <row r="337" spans="1:10" x14ac:dyDescent="0.3">
      <c r="A337" s="15">
        <v>11</v>
      </c>
      <c r="B337" s="16" t="str">
        <f>VLOOKUP(A337,SINTÉTICO!$A$9:$J$125,4,FALSE)</f>
        <v>SERVIÇOS COMPLEMENTARES</v>
      </c>
      <c r="C337" s="17"/>
      <c r="D337" s="17"/>
      <c r="E337" s="17"/>
      <c r="F337" s="17"/>
      <c r="G337" s="17"/>
      <c r="H337" s="17"/>
      <c r="I337" s="17"/>
      <c r="J337" s="18"/>
    </row>
    <row r="338" spans="1:10" ht="27.6" outlineLevel="1" x14ac:dyDescent="0.3">
      <c r="A338" s="48" t="s">
        <v>22</v>
      </c>
      <c r="B338" s="49" t="s">
        <v>23</v>
      </c>
      <c r="C338" s="49" t="s">
        <v>24</v>
      </c>
      <c r="D338" s="49" t="s">
        <v>215</v>
      </c>
      <c r="E338" s="49" t="s">
        <v>43</v>
      </c>
      <c r="F338" s="49" t="s">
        <v>28</v>
      </c>
      <c r="G338" s="49"/>
      <c r="H338" s="49"/>
      <c r="I338" s="49"/>
      <c r="J338" s="50" t="s">
        <v>25</v>
      </c>
    </row>
    <row r="339" spans="1:10" outlineLevel="1" x14ac:dyDescent="0.3">
      <c r="A339" s="51" t="s">
        <v>211</v>
      </c>
      <c r="B339" s="7" t="str">
        <f>VLOOKUP(A339,SINTÉTICO!$A$9:$J$125,4,FALSE)</f>
        <v>Guarda-corpo em mad. lei envernizado h=1,0m</v>
      </c>
      <c r="C339" s="8" t="str">
        <f>VLOOKUP(A339,SINTÉTICO!$A$9:$J$125,5,FALSE)</f>
        <v>m²</v>
      </c>
      <c r="D339" s="9">
        <f>1.2+3.8+1.2+3.45+1.5+4.18+2.7+6.42+10.94+2.4+14.25+14.25</f>
        <v>66.290000000000006</v>
      </c>
      <c r="E339" s="9">
        <v>1</v>
      </c>
      <c r="F339" s="9">
        <f>D339*E339</f>
        <v>66.290000000000006</v>
      </c>
      <c r="G339" s="9"/>
      <c r="H339" s="9"/>
      <c r="I339" s="9"/>
      <c r="J339" s="10">
        <f>F339</f>
        <v>66.290000000000006</v>
      </c>
    </row>
    <row r="340" spans="1:10" outlineLevel="1" x14ac:dyDescent="0.3">
      <c r="A340" s="51" t="s">
        <v>587</v>
      </c>
      <c r="B340" s="7" t="str">
        <f>VLOOKUP(A340,SINTÉTICO!$A$9:$J$125,4,FALSE)</f>
        <v>Limpeza geral e entrega da obra</v>
      </c>
      <c r="C340" s="8" t="str">
        <f>VLOOKUP(A340,SINTÉTICO!$A$9:$J$125,5,FALSE)</f>
        <v>m²</v>
      </c>
      <c r="D340" s="9">
        <v>0</v>
      </c>
      <c r="E340" s="9">
        <v>0</v>
      </c>
      <c r="F340" s="9">
        <v>163.38999999999999</v>
      </c>
      <c r="G340" s="9"/>
      <c r="H340" s="9"/>
      <c r="I340" s="9"/>
      <c r="J340" s="10">
        <f>F340</f>
        <v>163.38999999999999</v>
      </c>
    </row>
    <row r="341" spans="1:10" x14ac:dyDescent="0.3">
      <c r="A341" s="1"/>
      <c r="B341" s="20"/>
      <c r="C341" s="19"/>
      <c r="D341" s="19"/>
      <c r="E341" s="19"/>
      <c r="F341" s="19"/>
      <c r="G341" s="19"/>
      <c r="H341" s="19"/>
      <c r="I341" s="19"/>
      <c r="J341" s="2"/>
    </row>
    <row r="342" spans="1:10" ht="14.4" thickBot="1" x14ac:dyDescent="0.35">
      <c r="A342" s="11"/>
      <c r="B342" s="12"/>
      <c r="C342" s="13"/>
      <c r="D342" s="13"/>
      <c r="E342" s="13"/>
      <c r="F342" s="13"/>
      <c r="G342" s="13"/>
      <c r="H342" s="13"/>
      <c r="I342" s="13"/>
      <c r="J342" s="14"/>
    </row>
    <row r="343" spans="1:10" x14ac:dyDescent="0.3">
      <c r="A343" s="255"/>
      <c r="B343" s="256"/>
      <c r="C343" s="256"/>
      <c r="D343" s="256"/>
      <c r="E343" s="256"/>
      <c r="F343" s="256"/>
      <c r="G343" s="256"/>
      <c r="H343" s="256"/>
      <c r="I343" s="256"/>
      <c r="J343" s="257"/>
    </row>
    <row r="344" spans="1:10" x14ac:dyDescent="0.3">
      <c r="A344" s="246"/>
      <c r="B344" s="258"/>
      <c r="C344" s="258"/>
      <c r="D344" s="258"/>
      <c r="E344" s="258"/>
      <c r="F344" s="258"/>
      <c r="G344" s="258"/>
      <c r="H344" s="258"/>
      <c r="I344" s="258"/>
      <c r="J344" s="248"/>
    </row>
    <row r="345" spans="1:10" x14ac:dyDescent="0.3">
      <c r="A345" s="246" t="s">
        <v>189</v>
      </c>
      <c r="B345" s="247"/>
      <c r="C345" s="247"/>
      <c r="D345" s="247"/>
      <c r="E345" s="247"/>
      <c r="F345" s="247"/>
      <c r="G345" s="247"/>
      <c r="H345" s="247"/>
      <c r="I345" s="247"/>
      <c r="J345" s="248"/>
    </row>
    <row r="346" spans="1:10" x14ac:dyDescent="0.3">
      <c r="A346" s="246" t="s">
        <v>618</v>
      </c>
      <c r="B346" s="247"/>
      <c r="C346" s="247"/>
      <c r="D346" s="247"/>
      <c r="E346" s="247"/>
      <c r="F346" s="247"/>
      <c r="G346" s="247"/>
      <c r="H346" s="247"/>
      <c r="I346" s="247"/>
      <c r="J346" s="248"/>
    </row>
    <row r="347" spans="1:10" x14ac:dyDescent="0.3">
      <c r="A347" s="259" t="s">
        <v>620</v>
      </c>
      <c r="B347" s="259"/>
      <c r="C347" s="259"/>
      <c r="D347" s="259"/>
      <c r="E347" s="259"/>
      <c r="F347" s="259"/>
      <c r="G347" s="259"/>
      <c r="H347" s="259"/>
      <c r="I347" s="259"/>
      <c r="J347" s="259"/>
    </row>
    <row r="348" spans="1:10" x14ac:dyDescent="0.3">
      <c r="A348" s="246" t="s">
        <v>619</v>
      </c>
      <c r="B348" s="247"/>
      <c r="C348" s="247"/>
      <c r="D348" s="247"/>
      <c r="E348" s="247"/>
      <c r="F348" s="247"/>
      <c r="G348" s="247"/>
      <c r="H348" s="247"/>
      <c r="I348" s="247"/>
      <c r="J348" s="248"/>
    </row>
    <row r="349" spans="1:10" x14ac:dyDescent="0.3">
      <c r="A349" s="246" t="s">
        <v>192</v>
      </c>
      <c r="B349" s="258"/>
      <c r="C349" s="258"/>
      <c r="D349" s="258"/>
      <c r="E349" s="258"/>
      <c r="F349" s="258"/>
      <c r="G349" s="258"/>
      <c r="H349" s="258"/>
      <c r="I349" s="258"/>
      <c r="J349" s="248"/>
    </row>
  </sheetData>
  <mergeCells count="52">
    <mergeCell ref="A349:J349"/>
    <mergeCell ref="B90:B92"/>
    <mergeCell ref="B88:B89"/>
    <mergeCell ref="A175:F175"/>
    <mergeCell ref="A164:F164"/>
    <mergeCell ref="A170:G170"/>
    <mergeCell ref="B131:B133"/>
    <mergeCell ref="B134:B135"/>
    <mergeCell ref="B145:B146"/>
    <mergeCell ref="B147:B148"/>
    <mergeCell ref="A155:G155"/>
    <mergeCell ref="B129:B130"/>
    <mergeCell ref="B93:B94"/>
    <mergeCell ref="B106:B107"/>
    <mergeCell ref="B104:B105"/>
    <mergeCell ref="B117:B118"/>
    <mergeCell ref="B119:B128"/>
    <mergeCell ref="B78:B87"/>
    <mergeCell ref="A1:A6"/>
    <mergeCell ref="B1:F1"/>
    <mergeCell ref="G1:H1"/>
    <mergeCell ref="B67:B69"/>
    <mergeCell ref="A70:E70"/>
    <mergeCell ref="B76:B77"/>
    <mergeCell ref="A114:F114"/>
    <mergeCell ref="I1:J1"/>
    <mergeCell ref="B2:F2"/>
    <mergeCell ref="G2:H2"/>
    <mergeCell ref="I2:J3"/>
    <mergeCell ref="A60:G60"/>
    <mergeCell ref="A40:E40"/>
    <mergeCell ref="A345:J345"/>
    <mergeCell ref="A346:J346"/>
    <mergeCell ref="A347:J347"/>
    <mergeCell ref="A348:J348"/>
    <mergeCell ref="B3:F3"/>
    <mergeCell ref="G3:H3"/>
    <mergeCell ref="B4:F4"/>
    <mergeCell ref="A343:J343"/>
    <mergeCell ref="A344:J344"/>
    <mergeCell ref="A7:J7"/>
    <mergeCell ref="G4:H4"/>
    <mergeCell ref="I4:J4"/>
    <mergeCell ref="B5:F6"/>
    <mergeCell ref="G5:H5"/>
    <mergeCell ref="I5:J6"/>
    <mergeCell ref="G6:H6"/>
    <mergeCell ref="A222:E222"/>
    <mergeCell ref="A196:C196"/>
    <mergeCell ref="A214:C214"/>
    <mergeCell ref="B218:B219"/>
    <mergeCell ref="B220:B221"/>
  </mergeCells>
  <phoneticPr fontId="5" type="noConversion"/>
  <printOptions horizontalCentered="1"/>
  <pageMargins left="0.51181102362204722" right="0.51181102362204722" top="0.78740157480314965" bottom="0.98425196850393704" header="0.31496062992125984" footer="0.19685039370078741"/>
  <pageSetup paperSize="9" scale="63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84BD-7BC0-498F-8B66-F0D4DE6C472E}">
  <sheetPr>
    <pageSetUpPr fitToPage="1"/>
  </sheetPr>
  <dimension ref="A1:P44"/>
  <sheetViews>
    <sheetView showOutlineSymbols="0" showWhiteSpace="0" view="pageBreakPreview" topLeftCell="A4" zoomScale="85" zoomScaleNormal="100" zoomScaleSheetLayoutView="85" workbookViewId="0">
      <selection activeCell="H14" sqref="H14"/>
    </sheetView>
  </sheetViews>
  <sheetFormatPr defaultColWidth="9.109375" defaultRowHeight="13.8" x14ac:dyDescent="0.3"/>
  <cols>
    <col min="1" max="1" width="10.44140625" style="109" customWidth="1"/>
    <col min="2" max="2" width="38.109375" style="109" bestFit="1" customWidth="1"/>
    <col min="3" max="3" width="15" style="109" bestFit="1" customWidth="1"/>
    <col min="4" max="13" width="12.6640625" style="109" customWidth="1"/>
    <col min="14" max="28" width="13.6640625" style="109" bestFit="1" customWidth="1"/>
    <col min="29" max="16384" width="9.109375" style="109"/>
  </cols>
  <sheetData>
    <row r="1" spans="1:16" ht="15" customHeight="1" x14ac:dyDescent="0.3">
      <c r="A1" s="263"/>
      <c r="B1" s="263" t="str">
        <f>SINTÉTICO!B1</f>
        <v>Prefeitura Municipal de Santarém</v>
      </c>
      <c r="C1" s="228"/>
      <c r="D1" s="228"/>
      <c r="E1" s="228"/>
      <c r="F1" s="228"/>
      <c r="G1" s="228"/>
      <c r="H1" s="228"/>
      <c r="I1" s="228"/>
      <c r="J1" s="323" t="s">
        <v>13</v>
      </c>
      <c r="K1" s="324"/>
      <c r="L1" s="317" t="s">
        <v>14</v>
      </c>
      <c r="M1" s="318"/>
    </row>
    <row r="2" spans="1:16" ht="15" customHeight="1" x14ac:dyDescent="0.3">
      <c r="A2" s="268"/>
      <c r="B2" s="268" t="str">
        <f>SINTÉTICO!B2</f>
        <v>Secretaria Municipal de Infraestrutura</v>
      </c>
      <c r="C2" s="331"/>
      <c r="D2" s="331"/>
      <c r="E2" s="331"/>
      <c r="F2" s="331"/>
      <c r="G2" s="331"/>
      <c r="H2" s="331"/>
      <c r="I2" s="331"/>
      <c r="J2" s="313" t="str">
        <f>SINTÉTICO!G2</f>
        <v>SINAPI 06/2024 Desonerado</v>
      </c>
      <c r="K2" s="314"/>
      <c r="L2" s="308" t="str">
        <f>SINTÉTICO!G2</f>
        <v>SINAPI 06/2024 Desonerado</v>
      </c>
      <c r="M2" s="309"/>
    </row>
    <row r="3" spans="1:16" ht="15" customHeight="1" x14ac:dyDescent="0.3">
      <c r="A3" s="268"/>
      <c r="B3" s="268" t="str">
        <f>SINTÉTICO!B3</f>
        <v>CNPJ: 05.182.233/0007-61</v>
      </c>
      <c r="C3" s="331"/>
      <c r="D3" s="331"/>
      <c r="E3" s="331"/>
      <c r="F3" s="331"/>
      <c r="G3" s="331"/>
      <c r="H3" s="331"/>
      <c r="I3" s="331"/>
      <c r="J3" s="313" t="str">
        <f>SINTÉTICO!G3</f>
        <v>SEDOP 05/2024</v>
      </c>
      <c r="K3" s="314"/>
      <c r="L3" s="308"/>
      <c r="M3" s="309"/>
    </row>
    <row r="4" spans="1:16" ht="15" customHeight="1" x14ac:dyDescent="0.3">
      <c r="A4" s="268"/>
      <c r="B4" s="329" t="str">
        <f>SINTÉTICO!B4</f>
        <v xml:space="preserve">Av. Barão do Rio Branco, S/N - Bairro: Aeroporto Velho - CEP: 68.005-310 - Santarém/PA </v>
      </c>
      <c r="C4" s="330"/>
      <c r="D4" s="330"/>
      <c r="E4" s="330"/>
      <c r="F4" s="330"/>
      <c r="G4" s="330"/>
      <c r="H4" s="330"/>
      <c r="I4" s="330"/>
      <c r="J4" s="332"/>
      <c r="K4" s="333"/>
      <c r="L4" s="351" t="s">
        <v>18</v>
      </c>
      <c r="M4" s="352"/>
    </row>
    <row r="5" spans="1:16" ht="15" customHeight="1" x14ac:dyDescent="0.3">
      <c r="A5" s="268"/>
      <c r="B5" s="325" t="str">
        <f>SINTÉTICO!B5</f>
        <v>OBJETO: CONSTRUÇÃO DE UNIDADE BÁSICA DE SAÚDE (UBS) PIRACAOERA - MODELO MUNICIPAL</v>
      </c>
      <c r="C5" s="326"/>
      <c r="D5" s="326"/>
      <c r="E5" s="326"/>
      <c r="F5" s="326"/>
      <c r="G5" s="326"/>
      <c r="H5" s="326"/>
      <c r="I5" s="326"/>
      <c r="J5" s="334"/>
      <c r="K5" s="335"/>
      <c r="L5" s="332" t="s">
        <v>19</v>
      </c>
      <c r="M5" s="333"/>
    </row>
    <row r="6" spans="1:16" ht="15.75" customHeight="1" thickBot="1" x14ac:dyDescent="0.35">
      <c r="A6" s="316"/>
      <c r="B6" s="327"/>
      <c r="C6" s="328"/>
      <c r="D6" s="328"/>
      <c r="E6" s="328"/>
      <c r="F6" s="328"/>
      <c r="G6" s="328"/>
      <c r="H6" s="328"/>
      <c r="I6" s="328"/>
      <c r="J6" s="336"/>
      <c r="K6" s="337"/>
      <c r="L6" s="336"/>
      <c r="M6" s="337"/>
    </row>
    <row r="7" spans="1:16" ht="14.4" thickBot="1" x14ac:dyDescent="0.35">
      <c r="A7" s="292" t="s">
        <v>395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4"/>
    </row>
    <row r="8" spans="1:16" x14ac:dyDescent="0.3">
      <c r="A8" s="319" t="s">
        <v>22</v>
      </c>
      <c r="B8" s="321" t="s">
        <v>49</v>
      </c>
      <c r="C8" s="321" t="s">
        <v>475</v>
      </c>
      <c r="D8" s="122" t="s">
        <v>642</v>
      </c>
      <c r="E8" s="122" t="s">
        <v>643</v>
      </c>
      <c r="F8" s="122" t="s">
        <v>644</v>
      </c>
      <c r="G8" s="122" t="s">
        <v>645</v>
      </c>
      <c r="H8" s="122" t="s">
        <v>646</v>
      </c>
      <c r="I8" s="122" t="s">
        <v>647</v>
      </c>
      <c r="J8" s="122" t="s">
        <v>648</v>
      </c>
      <c r="K8" s="122" t="s">
        <v>649</v>
      </c>
      <c r="L8" s="122" t="s">
        <v>650</v>
      </c>
      <c r="M8" s="122" t="s">
        <v>651</v>
      </c>
    </row>
    <row r="9" spans="1:16" ht="14.4" thickBot="1" x14ac:dyDescent="0.35">
      <c r="A9" s="320"/>
      <c r="B9" s="322"/>
      <c r="C9" s="322"/>
      <c r="D9" s="124" t="s">
        <v>652</v>
      </c>
      <c r="E9" s="124" t="s">
        <v>652</v>
      </c>
      <c r="F9" s="124" t="s">
        <v>652</v>
      </c>
      <c r="G9" s="124" t="s">
        <v>652</v>
      </c>
      <c r="H9" s="124" t="s">
        <v>652</v>
      </c>
      <c r="I9" s="124" t="s">
        <v>652</v>
      </c>
      <c r="J9" s="124" t="s">
        <v>652</v>
      </c>
      <c r="K9" s="124" t="s">
        <v>652</v>
      </c>
      <c r="L9" s="124" t="s">
        <v>652</v>
      </c>
      <c r="M9" s="124" t="s">
        <v>652</v>
      </c>
      <c r="P9" s="126"/>
    </row>
    <row r="10" spans="1:16" x14ac:dyDescent="0.3">
      <c r="A10" s="353">
        <v>1</v>
      </c>
      <c r="B10" s="354" t="str">
        <f>INDEX(SINTÉTICO!$A$9:$J$125,MATCH(CRONOGRAMA!A10,SINTÉTICO!$A$9:$A$125,0),4)</f>
        <v>ADMINISTRAÇÃO LOCAL DA OBRA</v>
      </c>
      <c r="C10" s="156">
        <f>SUM(D10:M10)</f>
        <v>1</v>
      </c>
      <c r="D10" s="157">
        <v>0.14779999999999999</v>
      </c>
      <c r="E10" s="157">
        <v>0.17069999999999999</v>
      </c>
      <c r="F10" s="157">
        <v>0.15590000000000001</v>
      </c>
      <c r="G10" s="157">
        <v>0.1368</v>
      </c>
      <c r="H10" s="157">
        <v>4.2200000000000001E-2</v>
      </c>
      <c r="I10" s="157">
        <v>9.0499999999999997E-2</v>
      </c>
      <c r="J10" s="157">
        <v>4.1500000000000002E-2</v>
      </c>
      <c r="K10" s="157">
        <v>5.4300000000000001E-2</v>
      </c>
      <c r="L10" s="157">
        <v>8.2299999999999998E-2</v>
      </c>
      <c r="M10" s="202">
        <v>7.8E-2</v>
      </c>
    </row>
    <row r="11" spans="1:16" x14ac:dyDescent="0.3">
      <c r="A11" s="339"/>
      <c r="B11" s="315" t="e">
        <f>INDEX([3]SINTÉTICO!$A$9:$I$166,MATCH(CRONOGRAMA!#REF!,[3]SINTÉTICO!$A$9:$A$166,0),9)</f>
        <v>#REF!</v>
      </c>
      <c r="C11" s="154">
        <f>INDEX(SINTÉTICO!$A$9:$J$125,MATCH(CRONOGRAMA!A10,SINTÉTICO!$A$9:$A$125,0),9)</f>
        <v>17818.11</v>
      </c>
      <c r="D11" s="131">
        <f>ROUND(($C$11*D10),2)</f>
        <v>2633.52</v>
      </c>
      <c r="E11" s="131">
        <f t="shared" ref="E11:M11" si="0">ROUND(($C$11*E10),2)</f>
        <v>3041.55</v>
      </c>
      <c r="F11" s="131">
        <f t="shared" si="0"/>
        <v>2777.84</v>
      </c>
      <c r="G11" s="131">
        <f t="shared" si="0"/>
        <v>2437.52</v>
      </c>
      <c r="H11" s="131">
        <f t="shared" si="0"/>
        <v>751.92</v>
      </c>
      <c r="I11" s="131">
        <f t="shared" si="0"/>
        <v>1612.54</v>
      </c>
      <c r="J11" s="131">
        <f t="shared" si="0"/>
        <v>739.45</v>
      </c>
      <c r="K11" s="131">
        <f t="shared" si="0"/>
        <v>967.52</v>
      </c>
      <c r="L11" s="131">
        <f t="shared" si="0"/>
        <v>1466.43</v>
      </c>
      <c r="M11" s="131">
        <f t="shared" si="0"/>
        <v>1389.81</v>
      </c>
      <c r="O11" s="126">
        <f>SUM(D11:M11)</f>
        <v>17818.099999999999</v>
      </c>
      <c r="P11" s="126">
        <f>O11-C11</f>
        <v>-0.01</v>
      </c>
    </row>
    <row r="12" spans="1:16" x14ac:dyDescent="0.3">
      <c r="A12" s="339">
        <v>2</v>
      </c>
      <c r="B12" s="315" t="str">
        <f>INDEX(SINTÉTICO!$A$9:$J$125,MATCH(CRONOGRAMA!A12,SINTÉTICO!$A$9:$A$125,0),4)</f>
        <v>SERVIÇOS PRELIMINARES</v>
      </c>
      <c r="C12" s="155">
        <f>SUM(D12:M12)</f>
        <v>1</v>
      </c>
      <c r="D12" s="134">
        <v>1</v>
      </c>
      <c r="E12" s="134"/>
      <c r="F12" s="134"/>
      <c r="G12" s="134"/>
      <c r="H12" s="134"/>
      <c r="I12" s="134"/>
      <c r="J12" s="134"/>
      <c r="K12" s="134"/>
      <c r="L12" s="134"/>
      <c r="M12" s="135"/>
      <c r="P12" s="126"/>
    </row>
    <row r="13" spans="1:16" x14ac:dyDescent="0.3">
      <c r="A13" s="339"/>
      <c r="B13" s="315" t="e">
        <f>INDEX([3]SINTÉTICO!$A$9:$I$166,MATCH(CRONOGRAMA!#REF!,[3]SINTÉTICO!$A$9:$A$166,0),9)</f>
        <v>#REF!</v>
      </c>
      <c r="C13" s="154">
        <f>INDEX(SINTÉTICO!$A$9:$J$125,MATCH(CRONOGRAMA!A12,SINTÉTICO!$A$9:$A$125,0),9)</f>
        <v>40258.06</v>
      </c>
      <c r="D13" s="131">
        <f>ROUND(($C$13*D12),2)</f>
        <v>40258.06</v>
      </c>
      <c r="E13" s="131">
        <f t="shared" ref="E13:M13" si="1">$C$13*E12</f>
        <v>0</v>
      </c>
      <c r="F13" s="131">
        <f t="shared" si="1"/>
        <v>0</v>
      </c>
      <c r="G13" s="131">
        <f t="shared" si="1"/>
        <v>0</v>
      </c>
      <c r="H13" s="131">
        <f t="shared" si="1"/>
        <v>0</v>
      </c>
      <c r="I13" s="131">
        <f t="shared" si="1"/>
        <v>0</v>
      </c>
      <c r="J13" s="131">
        <f t="shared" si="1"/>
        <v>0</v>
      </c>
      <c r="K13" s="131">
        <f t="shared" si="1"/>
        <v>0</v>
      </c>
      <c r="L13" s="131">
        <f t="shared" si="1"/>
        <v>0</v>
      </c>
      <c r="M13" s="132">
        <f t="shared" si="1"/>
        <v>0</v>
      </c>
      <c r="O13" s="126">
        <f>SUM(D13:M13)</f>
        <v>40258.06</v>
      </c>
      <c r="P13" s="126">
        <f>O13-C13</f>
        <v>0</v>
      </c>
    </row>
    <row r="14" spans="1:16" x14ac:dyDescent="0.3">
      <c r="A14" s="339">
        <v>3</v>
      </c>
      <c r="B14" s="315" t="str">
        <f>INDEX(SINTÉTICO!$A$9:$J$125,MATCH(CRONOGRAMA!A14,SINTÉTICO!$A$9:$A$125,0),4)</f>
        <v>FUNDAÇÃO E ESTRUTURA</v>
      </c>
      <c r="C14" s="155">
        <f>SUM(D14:M14)</f>
        <v>1</v>
      </c>
      <c r="D14" s="134">
        <v>0.6</v>
      </c>
      <c r="E14" s="134">
        <v>0.4</v>
      </c>
      <c r="F14" s="134"/>
      <c r="G14" s="134"/>
      <c r="H14" s="134"/>
      <c r="I14" s="134"/>
      <c r="J14" s="134"/>
      <c r="K14" s="134"/>
      <c r="L14" s="134"/>
      <c r="M14" s="135"/>
      <c r="P14" s="126"/>
    </row>
    <row r="15" spans="1:16" x14ac:dyDescent="0.3">
      <c r="A15" s="339"/>
      <c r="B15" s="315" t="e">
        <f>INDEX([3]SINTÉTICO!$A$9:$I$166,MATCH(CRONOGRAMA!#REF!,[3]SINTÉTICO!$A$9:$A$166,0),9)</f>
        <v>#REF!</v>
      </c>
      <c r="C15" s="154">
        <f>INDEX(SINTÉTICO!$A$9:$J$125,MATCH(CRONOGRAMA!A14,SINTÉTICO!$A$9:$A$125,0),9)</f>
        <v>69922.320000000007</v>
      </c>
      <c r="D15" s="131">
        <f>ROUND(($C$15*D14),2)</f>
        <v>41953.39</v>
      </c>
      <c r="E15" s="131">
        <f>ROUND(($C$15*E14),2)</f>
        <v>27968.93</v>
      </c>
      <c r="F15" s="131">
        <f t="shared" ref="F15:M15" si="2">$C$15*F14</f>
        <v>0</v>
      </c>
      <c r="G15" s="131">
        <f t="shared" si="2"/>
        <v>0</v>
      </c>
      <c r="H15" s="131">
        <f t="shared" si="2"/>
        <v>0</v>
      </c>
      <c r="I15" s="131">
        <f t="shared" si="2"/>
        <v>0</v>
      </c>
      <c r="J15" s="131">
        <f t="shared" si="2"/>
        <v>0</v>
      </c>
      <c r="K15" s="131">
        <f t="shared" si="2"/>
        <v>0</v>
      </c>
      <c r="L15" s="131">
        <f t="shared" si="2"/>
        <v>0</v>
      </c>
      <c r="M15" s="132">
        <f t="shared" si="2"/>
        <v>0</v>
      </c>
      <c r="O15" s="126">
        <f>SUM(D15:M15)</f>
        <v>69922.320000000007</v>
      </c>
      <c r="P15" s="126">
        <f>O15-C15</f>
        <v>0</v>
      </c>
    </row>
    <row r="16" spans="1:16" x14ac:dyDescent="0.3">
      <c r="A16" s="339">
        <v>4</v>
      </c>
      <c r="B16" s="315" t="str">
        <f>INDEX(SINTÉTICO!$A$9:$J$125,MATCH(CRONOGRAMA!A16,SINTÉTICO!$A$9:$A$125,0),4)</f>
        <v>PISO</v>
      </c>
      <c r="C16" s="155">
        <f>SUM(D16:M16)</f>
        <v>1</v>
      </c>
      <c r="D16" s="134"/>
      <c r="E16" s="134">
        <v>0.6</v>
      </c>
      <c r="F16" s="134">
        <v>0.4</v>
      </c>
      <c r="G16" s="134"/>
      <c r="H16" s="134"/>
      <c r="I16" s="134"/>
      <c r="J16" s="134"/>
      <c r="K16" s="134"/>
      <c r="L16" s="134"/>
      <c r="M16" s="135"/>
      <c r="P16" s="126"/>
    </row>
    <row r="17" spans="1:16" x14ac:dyDescent="0.3">
      <c r="A17" s="339"/>
      <c r="B17" s="315" t="e">
        <f>INDEX([3]SINTÉTICO!$A$9:$I$166,MATCH(CRONOGRAMA!#REF!,[3]SINTÉTICO!$A$9:$A$166,0),9)</f>
        <v>#REF!</v>
      </c>
      <c r="C17" s="154">
        <f>INDEX(SINTÉTICO!$A$9:$J$125,MATCH(CRONOGRAMA!A16,SINTÉTICO!$A$9:$A$125,0),9)</f>
        <v>80644.479999999996</v>
      </c>
      <c r="D17" s="131">
        <f>$C$17*D16</f>
        <v>0</v>
      </c>
      <c r="E17" s="131">
        <f>ROUND(($C$17*E16),2)</f>
        <v>48386.69</v>
      </c>
      <c r="F17" s="131">
        <f>ROUND(($C$17*F16),2)</f>
        <v>32257.79</v>
      </c>
      <c r="G17" s="131">
        <f t="shared" ref="G17:M17" si="3">$C$17*G16</f>
        <v>0</v>
      </c>
      <c r="H17" s="131">
        <f t="shared" si="3"/>
        <v>0</v>
      </c>
      <c r="I17" s="131">
        <f t="shared" si="3"/>
        <v>0</v>
      </c>
      <c r="J17" s="131">
        <f t="shared" si="3"/>
        <v>0</v>
      </c>
      <c r="K17" s="131">
        <f t="shared" si="3"/>
        <v>0</v>
      </c>
      <c r="L17" s="131">
        <f t="shared" si="3"/>
        <v>0</v>
      </c>
      <c r="M17" s="132">
        <f t="shared" si="3"/>
        <v>0</v>
      </c>
      <c r="O17" s="126">
        <f>SUM(D17:M17)</f>
        <v>80644.479999999996</v>
      </c>
      <c r="P17" s="126">
        <f>O17-C17</f>
        <v>0</v>
      </c>
    </row>
    <row r="18" spans="1:16" x14ac:dyDescent="0.3">
      <c r="A18" s="339">
        <v>5</v>
      </c>
      <c r="B18" s="315" t="str">
        <f>INDEX(SINTÉTICO!$A$9:$J$125,MATCH(CRONOGRAMA!A18,SINTÉTICO!$A$9:$A$125,0),4)</f>
        <v>PAREDE</v>
      </c>
      <c r="C18" s="155">
        <f>SUM(D18:M18)</f>
        <v>1</v>
      </c>
      <c r="D18" s="134"/>
      <c r="E18" s="134"/>
      <c r="F18" s="134">
        <v>0.4</v>
      </c>
      <c r="G18" s="134">
        <v>0.6</v>
      </c>
      <c r="H18" s="134"/>
      <c r="I18" s="134"/>
      <c r="J18" s="134"/>
      <c r="K18" s="134"/>
      <c r="L18" s="134"/>
      <c r="M18" s="135"/>
      <c r="P18" s="126"/>
    </row>
    <row r="19" spans="1:16" ht="15" customHeight="1" x14ac:dyDescent="0.3">
      <c r="A19" s="339"/>
      <c r="B19" s="315" t="e">
        <f>INDEX([3]SINTÉTICO!$A$9:$I$166,MATCH(CRONOGRAMA!#REF!,[3]SINTÉTICO!$A$9:$A$166,0),9)</f>
        <v>#REF!</v>
      </c>
      <c r="C19" s="154">
        <f>INDEX(SINTÉTICO!$A$9:$J$125,MATCH(CRONOGRAMA!A18,SINTÉTICO!$A$9:$A$125,0),9)</f>
        <v>88192.62</v>
      </c>
      <c r="D19" s="131">
        <f>$C$19*D18</f>
        <v>0</v>
      </c>
      <c r="E19" s="131">
        <f t="shared" ref="E19:M19" si="4">$C$19*E18</f>
        <v>0</v>
      </c>
      <c r="F19" s="131">
        <f>ROUND(($C$19*F18),2)</f>
        <v>35277.050000000003</v>
      </c>
      <c r="G19" s="131">
        <f>ROUND(($C$19*G18),2)</f>
        <v>52915.57</v>
      </c>
      <c r="H19" s="131">
        <f t="shared" si="4"/>
        <v>0</v>
      </c>
      <c r="I19" s="131">
        <f t="shared" si="4"/>
        <v>0</v>
      </c>
      <c r="J19" s="131">
        <f t="shared" si="4"/>
        <v>0</v>
      </c>
      <c r="K19" s="131">
        <f t="shared" si="4"/>
        <v>0</v>
      </c>
      <c r="L19" s="131">
        <f t="shared" si="4"/>
        <v>0</v>
      </c>
      <c r="M19" s="132">
        <f t="shared" si="4"/>
        <v>0</v>
      </c>
      <c r="O19" s="126">
        <f>SUM(D19:M19)</f>
        <v>88192.62</v>
      </c>
      <c r="P19" s="126">
        <f>O19-C19</f>
        <v>0</v>
      </c>
    </row>
    <row r="20" spans="1:16" x14ac:dyDescent="0.3">
      <c r="A20" s="339">
        <v>6</v>
      </c>
      <c r="B20" s="315" t="str">
        <f>INDEX(SINTÉTICO!$A$9:$J$125,MATCH(CRONOGRAMA!A20,SINTÉTICO!$A$9:$A$125,0),4)</f>
        <v>ESQUADRIAS</v>
      </c>
      <c r="C20" s="155">
        <f>SUM(D20:M20)</f>
        <v>1</v>
      </c>
      <c r="D20" s="134"/>
      <c r="E20" s="134"/>
      <c r="F20" s="134"/>
      <c r="G20" s="134"/>
      <c r="H20" s="134">
        <v>0.6</v>
      </c>
      <c r="I20" s="134">
        <v>0.4</v>
      </c>
      <c r="J20" s="134"/>
      <c r="K20" s="134"/>
      <c r="L20" s="134"/>
      <c r="M20" s="135"/>
      <c r="P20" s="126"/>
    </row>
    <row r="21" spans="1:16" ht="15" customHeight="1" x14ac:dyDescent="0.3">
      <c r="A21" s="339"/>
      <c r="B21" s="315" t="e">
        <f>INDEX([3]SINTÉTICO!$A$9:$I$166,MATCH(CRONOGRAMA!#REF!,[3]SINTÉTICO!$A$9:$A$166,0),9)</f>
        <v>#REF!</v>
      </c>
      <c r="C21" s="154">
        <f>INDEX(SINTÉTICO!$A$9:$J$125,MATCH(CRONOGRAMA!A20,SINTÉTICO!$A$9:$A$125,0),9)</f>
        <v>28478.400000000001</v>
      </c>
      <c r="D21" s="131">
        <f>$C$21*D20</f>
        <v>0</v>
      </c>
      <c r="E21" s="131">
        <f t="shared" ref="E21:M21" si="5">$C$21*E20</f>
        <v>0</v>
      </c>
      <c r="F21" s="131">
        <f t="shared" si="5"/>
        <v>0</v>
      </c>
      <c r="G21" s="131">
        <f t="shared" si="5"/>
        <v>0</v>
      </c>
      <c r="H21" s="131">
        <f>ROUND(($C$21*H20),2)</f>
        <v>17087.04</v>
      </c>
      <c r="I21" s="131">
        <f>ROUND(($C$21*I20),2)</f>
        <v>11391.36</v>
      </c>
      <c r="J21" s="131">
        <f t="shared" si="5"/>
        <v>0</v>
      </c>
      <c r="K21" s="131">
        <f t="shared" si="5"/>
        <v>0</v>
      </c>
      <c r="L21" s="131">
        <f t="shared" si="5"/>
        <v>0</v>
      </c>
      <c r="M21" s="132">
        <f t="shared" si="5"/>
        <v>0</v>
      </c>
      <c r="O21" s="126">
        <f>SUM(D21:M21)</f>
        <v>28478.400000000001</v>
      </c>
      <c r="P21" s="126">
        <f>O21-C21</f>
        <v>0</v>
      </c>
    </row>
    <row r="22" spans="1:16" x14ac:dyDescent="0.3">
      <c r="A22" s="339">
        <v>7</v>
      </c>
      <c r="B22" s="315" t="str">
        <f>INDEX(SINTÉTICO!$A$9:$J$125,MATCH(CRONOGRAMA!A22,SINTÉTICO!$A$9:$A$125,0),4)</f>
        <v>FORRO E COBERTURA</v>
      </c>
      <c r="C22" s="155">
        <f>SUM(D22:M22)</f>
        <v>1</v>
      </c>
      <c r="D22" s="134"/>
      <c r="E22" s="134"/>
      <c r="F22" s="134"/>
      <c r="G22" s="134"/>
      <c r="H22" s="134"/>
      <c r="I22" s="134">
        <v>0.6</v>
      </c>
      <c r="J22" s="134">
        <v>0.4</v>
      </c>
      <c r="K22" s="134"/>
      <c r="L22" s="134"/>
      <c r="M22" s="135"/>
      <c r="P22" s="126"/>
    </row>
    <row r="23" spans="1:16" x14ac:dyDescent="0.3">
      <c r="A23" s="339"/>
      <c r="B23" s="315" t="e">
        <f>INDEX([3]SINTÉTICO!$A$9:$I$166,MATCH(CRONOGRAMA!#REF!,[3]SINTÉTICO!$A$9:$A$166,0),9)</f>
        <v>#REF!</v>
      </c>
      <c r="C23" s="154">
        <f>INDEX(SINTÉTICO!$A$9:$J$125,MATCH(CRONOGRAMA!A22,SINTÉTICO!$A$9:$A$125,0),9)</f>
        <v>28953.96</v>
      </c>
      <c r="D23" s="131">
        <f>$C$23*D22</f>
        <v>0</v>
      </c>
      <c r="E23" s="131">
        <f t="shared" ref="E23:M23" si="6">$C$23*E22</f>
        <v>0</v>
      </c>
      <c r="F23" s="131">
        <f t="shared" si="6"/>
        <v>0</v>
      </c>
      <c r="G23" s="131">
        <f t="shared" si="6"/>
        <v>0</v>
      </c>
      <c r="H23" s="131">
        <f t="shared" si="6"/>
        <v>0</v>
      </c>
      <c r="I23" s="131">
        <f>ROUND(($C$23*I22),2)</f>
        <v>17372.38</v>
      </c>
      <c r="J23" s="131">
        <f>ROUND(($C$23*J22),2)</f>
        <v>11581.58</v>
      </c>
      <c r="K23" s="131">
        <f t="shared" si="6"/>
        <v>0</v>
      </c>
      <c r="L23" s="131">
        <f t="shared" si="6"/>
        <v>0</v>
      </c>
      <c r="M23" s="132">
        <f t="shared" si="6"/>
        <v>0</v>
      </c>
      <c r="O23" s="126">
        <f>SUM(D23:M23)</f>
        <v>28953.96</v>
      </c>
      <c r="P23" s="126">
        <f>O23-C23</f>
        <v>0</v>
      </c>
    </row>
    <row r="24" spans="1:16" x14ac:dyDescent="0.3">
      <c r="A24" s="339">
        <v>8</v>
      </c>
      <c r="B24" s="315" t="str">
        <f>INDEX(SINTÉTICO!$A$9:$J$125,MATCH(CRONOGRAMA!A24,SINTÉTICO!$A$9:$A$125,0),4)</f>
        <v>INSTALAÇÕES HIDROSSANITÁRIAS</v>
      </c>
      <c r="C24" s="155">
        <f>SUM(D24:M24)</f>
        <v>1</v>
      </c>
      <c r="D24" s="134"/>
      <c r="E24" s="134"/>
      <c r="F24" s="134"/>
      <c r="G24" s="134"/>
      <c r="H24" s="134"/>
      <c r="I24" s="134"/>
      <c r="J24" s="134"/>
      <c r="K24" s="134">
        <v>0.6</v>
      </c>
      <c r="L24" s="134">
        <v>0.4</v>
      </c>
      <c r="M24" s="135"/>
      <c r="P24" s="126"/>
    </row>
    <row r="25" spans="1:16" ht="15" customHeight="1" x14ac:dyDescent="0.3">
      <c r="A25" s="339"/>
      <c r="B25" s="315" t="e">
        <f>INDEX([3]SINTÉTICO!$A$9:$I$166,MATCH(CRONOGRAMA!#REF!,[3]SINTÉTICO!$A$9:$A$166,0),9)</f>
        <v>#REF!</v>
      </c>
      <c r="C25" s="154">
        <f>INDEX(SINTÉTICO!$A$9:$J$125,MATCH(CRONOGRAMA!A24,SINTÉTICO!$A$9:$A$125,0),9)</f>
        <v>38289.300000000003</v>
      </c>
      <c r="D25" s="131">
        <f>$C$25*D24</f>
        <v>0</v>
      </c>
      <c r="E25" s="131">
        <f t="shared" ref="E25:M25" si="7">$C$25*E24</f>
        <v>0</v>
      </c>
      <c r="F25" s="131">
        <f t="shared" si="7"/>
        <v>0</v>
      </c>
      <c r="G25" s="131">
        <f t="shared" si="7"/>
        <v>0</v>
      </c>
      <c r="H25" s="131">
        <f t="shared" si="7"/>
        <v>0</v>
      </c>
      <c r="I25" s="131">
        <f t="shared" si="7"/>
        <v>0</v>
      </c>
      <c r="J25" s="131">
        <f t="shared" si="7"/>
        <v>0</v>
      </c>
      <c r="K25" s="131">
        <f>ROUND(($C$25*K24),2)</f>
        <v>22973.58</v>
      </c>
      <c r="L25" s="131">
        <f>ROUND(($C$25*L24),2)</f>
        <v>15315.72</v>
      </c>
      <c r="M25" s="132">
        <f t="shared" si="7"/>
        <v>0</v>
      </c>
      <c r="O25" s="126">
        <f>SUM(D25:M25)</f>
        <v>38289.300000000003</v>
      </c>
      <c r="P25" s="126">
        <f>O25-C25</f>
        <v>0</v>
      </c>
    </row>
    <row r="26" spans="1:16" x14ac:dyDescent="0.3">
      <c r="A26" s="339">
        <v>9</v>
      </c>
      <c r="B26" s="315" t="str">
        <f>INDEX(SINTÉTICO!$A$9:$J$125,MATCH(CRONOGRAMA!A26,SINTÉTICO!$A$9:$A$125,0),4)</f>
        <v>INSTALAÇÕES ELÉTRICAS</v>
      </c>
      <c r="C26" s="155">
        <f>SUM(D26:M26)</f>
        <v>1</v>
      </c>
      <c r="D26" s="134"/>
      <c r="E26" s="134"/>
      <c r="F26" s="134"/>
      <c r="G26" s="134"/>
      <c r="H26" s="134"/>
      <c r="I26" s="134"/>
      <c r="J26" s="134"/>
      <c r="K26" s="134"/>
      <c r="L26" s="134">
        <v>0.6</v>
      </c>
      <c r="M26" s="135">
        <v>0.4</v>
      </c>
      <c r="P26" s="126"/>
    </row>
    <row r="27" spans="1:16" ht="15" customHeight="1" x14ac:dyDescent="0.3">
      <c r="A27" s="339"/>
      <c r="B27" s="315" t="e">
        <f>INDEX([3]SINTÉTICO!$A$9:$I$166,MATCH(CRONOGRAMA!#REF!,[3]SINTÉTICO!$A$9:$A$166,0),9)</f>
        <v>#REF!</v>
      </c>
      <c r="C27" s="154">
        <f>INDEX(SINTÉTICO!$A$9:$J$125,MATCH(CRONOGRAMA!A26,SINTÉTICO!$A$9:$A$125,0),9)</f>
        <v>20917.87</v>
      </c>
      <c r="D27" s="131">
        <f>$C$27*D26</f>
        <v>0</v>
      </c>
      <c r="E27" s="131">
        <f t="shared" ref="E27:K27" si="8">$C$27*E26</f>
        <v>0</v>
      </c>
      <c r="F27" s="131">
        <f t="shared" si="8"/>
        <v>0</v>
      </c>
      <c r="G27" s="131">
        <f t="shared" si="8"/>
        <v>0</v>
      </c>
      <c r="H27" s="131">
        <f t="shared" si="8"/>
        <v>0</v>
      </c>
      <c r="I27" s="131">
        <f t="shared" si="8"/>
        <v>0</v>
      </c>
      <c r="J27" s="131">
        <f t="shared" si="8"/>
        <v>0</v>
      </c>
      <c r="K27" s="131">
        <f t="shared" si="8"/>
        <v>0</v>
      </c>
      <c r="L27" s="131">
        <f>ROUND(($C$27*L26),2)</f>
        <v>12550.72</v>
      </c>
      <c r="M27" s="131">
        <f>ROUND(($C$27*M26),2)</f>
        <v>8367.15</v>
      </c>
      <c r="O27" s="126">
        <f>SUM(D27:M27)</f>
        <v>20917.87</v>
      </c>
      <c r="P27" s="126">
        <f>O27-C27</f>
        <v>0</v>
      </c>
    </row>
    <row r="28" spans="1:16" x14ac:dyDescent="0.3">
      <c r="A28" s="339">
        <v>10</v>
      </c>
      <c r="B28" s="315" t="str">
        <f>INDEX(SINTÉTICO!$A$9:$J$125,MATCH(CRONOGRAMA!A28,SINTÉTICO!$A$9:$A$125,0),4)</f>
        <v>PREVENÇÃO E COMBATE À INCÊNDIO</v>
      </c>
      <c r="C28" s="155">
        <f>SUM(D28:M28)</f>
        <v>1</v>
      </c>
      <c r="D28" s="134"/>
      <c r="E28" s="134"/>
      <c r="F28" s="134"/>
      <c r="G28" s="134"/>
      <c r="H28" s="134"/>
      <c r="I28" s="134"/>
      <c r="J28" s="134"/>
      <c r="K28" s="134"/>
      <c r="L28" s="134">
        <v>0.5</v>
      </c>
      <c r="M28" s="135">
        <v>0.5</v>
      </c>
      <c r="P28" s="126"/>
    </row>
    <row r="29" spans="1:16" ht="15" customHeight="1" x14ac:dyDescent="0.3">
      <c r="A29" s="339"/>
      <c r="B29" s="315" t="e">
        <f>INDEX([3]SINTÉTICO!$A$9:$I$166,MATCH(CRONOGRAMA!#REF!,[3]SINTÉTICO!$A$9:$A$166,0),9)</f>
        <v>#REF!</v>
      </c>
      <c r="C29" s="154">
        <f>INDEX(SINTÉTICO!$A$9:$J$125,MATCH(CRONOGRAMA!A28,SINTÉTICO!$A$9:$A$125,0),9)</f>
        <v>1749.65</v>
      </c>
      <c r="D29" s="131">
        <f>$C$29*D28</f>
        <v>0</v>
      </c>
      <c r="E29" s="131">
        <f t="shared" ref="E29:K29" si="9">$C$29*E28</f>
        <v>0</v>
      </c>
      <c r="F29" s="131">
        <f t="shared" si="9"/>
        <v>0</v>
      </c>
      <c r="G29" s="131">
        <f t="shared" si="9"/>
        <v>0</v>
      </c>
      <c r="H29" s="131">
        <f t="shared" si="9"/>
        <v>0</v>
      </c>
      <c r="I29" s="131">
        <f t="shared" si="9"/>
        <v>0</v>
      </c>
      <c r="J29" s="131">
        <f t="shared" si="9"/>
        <v>0</v>
      </c>
      <c r="K29" s="131">
        <f t="shared" si="9"/>
        <v>0</v>
      </c>
      <c r="L29" s="131">
        <f>ROUND(($C$29*L28),2)</f>
        <v>874.83</v>
      </c>
      <c r="M29" s="131">
        <f>ROUND(($C$29*M28),2)</f>
        <v>874.83</v>
      </c>
      <c r="O29" s="126">
        <f>SUM(D29:M29)</f>
        <v>1749.66</v>
      </c>
      <c r="P29" s="126">
        <f>O29-C29</f>
        <v>0.01</v>
      </c>
    </row>
    <row r="30" spans="1:16" x14ac:dyDescent="0.3">
      <c r="A30" s="339">
        <v>11</v>
      </c>
      <c r="B30" s="315" t="str">
        <f>INDEX(SINTÉTICO!$A$9:$J$125,MATCH(CRONOGRAMA!A30,SINTÉTICO!$A$9:$A$125,0),4)</f>
        <v>SERVIÇOS COMPLEMENTARES</v>
      </c>
      <c r="C30" s="155">
        <f>SUM(D30:M30)</f>
        <v>1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5">
        <v>1</v>
      </c>
      <c r="P30" s="126"/>
    </row>
    <row r="31" spans="1:16" ht="15" customHeight="1" thickBot="1" x14ac:dyDescent="0.35">
      <c r="A31" s="346"/>
      <c r="B31" s="347" t="e">
        <f>INDEX([3]SINTÉTICO!$A$9:$I$166,MATCH(CRONOGRAMA!#REF!,[3]SINTÉTICO!$A$9:$A$166,0),9)</f>
        <v>#REF!</v>
      </c>
      <c r="C31" s="154">
        <f>INDEX(SINTÉTICO!$A$9:$J$125,MATCH(CRONOGRAMA!A30,SINTÉTICO!$A$9:$A$125,0),9)</f>
        <v>18273.98</v>
      </c>
      <c r="D31" s="158">
        <f>$C$31*D30</f>
        <v>0</v>
      </c>
      <c r="E31" s="158">
        <f t="shared" ref="E31:L31" si="10">$C$31*E30</f>
        <v>0</v>
      </c>
      <c r="F31" s="158">
        <f t="shared" si="10"/>
        <v>0</v>
      </c>
      <c r="G31" s="158">
        <f t="shared" si="10"/>
        <v>0</v>
      </c>
      <c r="H31" s="158">
        <f t="shared" si="10"/>
        <v>0</v>
      </c>
      <c r="I31" s="158">
        <f t="shared" si="10"/>
        <v>0</v>
      </c>
      <c r="J31" s="158">
        <f t="shared" si="10"/>
        <v>0</v>
      </c>
      <c r="K31" s="158">
        <f t="shared" si="10"/>
        <v>0</v>
      </c>
      <c r="L31" s="158">
        <f t="shared" si="10"/>
        <v>0</v>
      </c>
      <c r="M31" s="131">
        <f>ROUND(($C$31*M30),2)</f>
        <v>18273.98</v>
      </c>
      <c r="O31" s="126">
        <f>SUM(D31:M31)</f>
        <v>18273.98</v>
      </c>
      <c r="P31" s="126">
        <f>O31-C31</f>
        <v>0</v>
      </c>
    </row>
    <row r="32" spans="1:16" x14ac:dyDescent="0.3">
      <c r="A32" s="340" t="s">
        <v>476</v>
      </c>
      <c r="B32" s="343">
        <f>SUM(C11,C13,C15,C17,C19,C21,C23,C25,C27,C29,C31)</f>
        <v>433498.75</v>
      </c>
      <c r="C32" s="159" t="s">
        <v>53</v>
      </c>
      <c r="D32" s="160">
        <f>D33/$B$32</f>
        <v>0.19570000000000001</v>
      </c>
      <c r="E32" s="160">
        <f>E33/$B$32</f>
        <v>0.1832</v>
      </c>
      <c r="F32" s="160">
        <f t="shared" ref="F32:M32" si="11">F33/$B$32</f>
        <v>0.16220000000000001</v>
      </c>
      <c r="G32" s="160">
        <f t="shared" si="11"/>
        <v>0.12770000000000001</v>
      </c>
      <c r="H32" s="160">
        <f t="shared" si="11"/>
        <v>4.1200000000000001E-2</v>
      </c>
      <c r="I32" s="160">
        <f t="shared" si="11"/>
        <v>7.0099999999999996E-2</v>
      </c>
      <c r="J32" s="160">
        <f t="shared" si="11"/>
        <v>2.8400000000000002E-2</v>
      </c>
      <c r="K32" s="160">
        <f t="shared" si="11"/>
        <v>5.5199999999999999E-2</v>
      </c>
      <c r="L32" s="160">
        <f t="shared" si="11"/>
        <v>6.9699999999999998E-2</v>
      </c>
      <c r="M32" s="203">
        <f t="shared" si="11"/>
        <v>6.6699999999999995E-2</v>
      </c>
    </row>
    <row r="33" spans="1:13" x14ac:dyDescent="0.3">
      <c r="A33" s="341"/>
      <c r="B33" s="344"/>
      <c r="C33" s="142" t="s">
        <v>477</v>
      </c>
      <c r="D33" s="143">
        <f>SUM(D11,D13,D15,D17,D19,D21,D23,D25,D27,D29,D31)</f>
        <v>84844.97</v>
      </c>
      <c r="E33" s="143">
        <f>SUM(E11,E13,E15,E17,E19,E21,E23,E25,E27,E29,E31)</f>
        <v>79397.17</v>
      </c>
      <c r="F33" s="143">
        <f t="shared" ref="F33:M33" si="12">SUM(F11,F13,F15,F17,F19,F21,F23,F25,F27,F29,F31)</f>
        <v>70312.679999999993</v>
      </c>
      <c r="G33" s="143">
        <f t="shared" si="12"/>
        <v>55353.09</v>
      </c>
      <c r="H33" s="143">
        <f t="shared" si="12"/>
        <v>17838.96</v>
      </c>
      <c r="I33" s="143">
        <f t="shared" si="12"/>
        <v>30376.28</v>
      </c>
      <c r="J33" s="143">
        <f t="shared" si="12"/>
        <v>12321.03</v>
      </c>
      <c r="K33" s="143">
        <f t="shared" si="12"/>
        <v>23941.1</v>
      </c>
      <c r="L33" s="143">
        <f t="shared" si="12"/>
        <v>30207.7</v>
      </c>
      <c r="M33" s="144">
        <f t="shared" si="12"/>
        <v>28905.77</v>
      </c>
    </row>
    <row r="34" spans="1:13" x14ac:dyDescent="0.3">
      <c r="A34" s="341"/>
      <c r="B34" s="344"/>
      <c r="C34" s="142" t="s">
        <v>478</v>
      </c>
      <c r="D34" s="145">
        <f>D32</f>
        <v>0.19570000000000001</v>
      </c>
      <c r="E34" s="145">
        <f>D34+E32</f>
        <v>0.37890000000000001</v>
      </c>
      <c r="F34" s="145">
        <f>E34+F32</f>
        <v>0.54110000000000003</v>
      </c>
      <c r="G34" s="145">
        <f t="shared" ref="G34:M35" si="13">F34+G32</f>
        <v>0.66879999999999995</v>
      </c>
      <c r="H34" s="145">
        <f t="shared" si="13"/>
        <v>0.71</v>
      </c>
      <c r="I34" s="145">
        <f t="shared" si="13"/>
        <v>0.78010000000000002</v>
      </c>
      <c r="J34" s="145">
        <f t="shared" si="13"/>
        <v>0.8085</v>
      </c>
      <c r="K34" s="145">
        <f t="shared" si="13"/>
        <v>0.86370000000000002</v>
      </c>
      <c r="L34" s="145">
        <f t="shared" si="13"/>
        <v>0.93340000000000001</v>
      </c>
      <c r="M34" s="146">
        <f t="shared" si="13"/>
        <v>1.0001</v>
      </c>
    </row>
    <row r="35" spans="1:13" ht="14.4" thickBot="1" x14ac:dyDescent="0.35">
      <c r="A35" s="342"/>
      <c r="B35" s="345"/>
      <c r="C35" s="147" t="s">
        <v>479</v>
      </c>
      <c r="D35" s="148">
        <f>D33</f>
        <v>84844.97</v>
      </c>
      <c r="E35" s="148">
        <f>D35+E33</f>
        <v>164242.14000000001</v>
      </c>
      <c r="F35" s="148">
        <f>E35+F33</f>
        <v>234554.82</v>
      </c>
      <c r="G35" s="148">
        <f t="shared" si="13"/>
        <v>289907.90999999997</v>
      </c>
      <c r="H35" s="148">
        <f t="shared" si="13"/>
        <v>307746.87</v>
      </c>
      <c r="I35" s="148">
        <f t="shared" si="13"/>
        <v>338123.15</v>
      </c>
      <c r="J35" s="148">
        <f t="shared" si="13"/>
        <v>350444.18</v>
      </c>
      <c r="K35" s="148">
        <f t="shared" si="13"/>
        <v>374385.28</v>
      </c>
      <c r="L35" s="148">
        <f t="shared" si="13"/>
        <v>404592.98</v>
      </c>
      <c r="M35" s="149">
        <f t="shared" si="13"/>
        <v>433498.75</v>
      </c>
    </row>
    <row r="36" spans="1:13" ht="14.25" customHeight="1" x14ac:dyDescent="0.3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2"/>
    </row>
    <row r="37" spans="1:13" x14ac:dyDescent="0.3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50"/>
    </row>
    <row r="38" spans="1:13" x14ac:dyDescent="0.3">
      <c r="A38" s="338"/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</row>
    <row r="39" spans="1:13" x14ac:dyDescent="0.3">
      <c r="A39" s="338"/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</row>
    <row r="40" spans="1:13" x14ac:dyDescent="0.3">
      <c r="A40" s="338"/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</row>
    <row r="41" spans="1:13" ht="15" customHeight="1" x14ac:dyDescent="0.3">
      <c r="A41" s="338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</row>
    <row r="42" spans="1:13" x14ac:dyDescent="0.3">
      <c r="A42" s="338"/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</row>
    <row r="43" spans="1:13" x14ac:dyDescent="0.3">
      <c r="B43" s="126">
        <f>SINTÉTICO!I126</f>
        <v>433498.75</v>
      </c>
      <c r="C43" s="126">
        <f>B32-B43</f>
        <v>0</v>
      </c>
    </row>
    <row r="44" spans="1:13" x14ac:dyDescent="0.3">
      <c r="M44" s="126">
        <f>B43-M35</f>
        <v>0</v>
      </c>
    </row>
  </sheetData>
  <mergeCells count="49">
    <mergeCell ref="A12:A13"/>
    <mergeCell ref="B30:B31"/>
    <mergeCell ref="A14:A15"/>
    <mergeCell ref="A37:M37"/>
    <mergeCell ref="A38:M38"/>
    <mergeCell ref="J2:K2"/>
    <mergeCell ref="L4:M4"/>
    <mergeCell ref="A28:A29"/>
    <mergeCell ref="B28:B29"/>
    <mergeCell ref="A16:A17"/>
    <mergeCell ref="B16:B17"/>
    <mergeCell ref="A18:A19"/>
    <mergeCell ref="B18:B19"/>
    <mergeCell ref="A20:A21"/>
    <mergeCell ref="B20:B21"/>
    <mergeCell ref="A10:A11"/>
    <mergeCell ref="B10:B11"/>
    <mergeCell ref="J4:K6"/>
    <mergeCell ref="B12:B13"/>
    <mergeCell ref="L5:M6"/>
    <mergeCell ref="A42:M42"/>
    <mergeCell ref="A39:M39"/>
    <mergeCell ref="A40:M40"/>
    <mergeCell ref="A22:A23"/>
    <mergeCell ref="B22:B23"/>
    <mergeCell ref="A24:A25"/>
    <mergeCell ref="B24:B25"/>
    <mergeCell ref="A26:A27"/>
    <mergeCell ref="B26:B27"/>
    <mergeCell ref="A41:M41"/>
    <mergeCell ref="A32:A35"/>
    <mergeCell ref="B32:B35"/>
    <mergeCell ref="A30:A31"/>
    <mergeCell ref="L2:M3"/>
    <mergeCell ref="A36:M36"/>
    <mergeCell ref="J3:K3"/>
    <mergeCell ref="B14:B15"/>
    <mergeCell ref="A1:A6"/>
    <mergeCell ref="L1:M1"/>
    <mergeCell ref="A7:M7"/>
    <mergeCell ref="A8:A9"/>
    <mergeCell ref="B8:B9"/>
    <mergeCell ref="C8:C9"/>
    <mergeCell ref="J1:K1"/>
    <mergeCell ref="B5:I6"/>
    <mergeCell ref="B4:I4"/>
    <mergeCell ref="B3:I3"/>
    <mergeCell ref="B2:I2"/>
    <mergeCell ref="B1:I1"/>
  </mergeCells>
  <phoneticPr fontId="5" type="noConversion"/>
  <conditionalFormatting sqref="D10:M31">
    <cfRule type="cellIs" dxfId="11" priority="6" operator="equal">
      <formula>0</formula>
    </cfRule>
  </conditionalFormatting>
  <conditionalFormatting sqref="D11:M11 D13:M13 D15:M15 D17:M17 D19:M19 D21:M21 D23:M23 D25:M25 D27:M27 D29:M29 D31:M31">
    <cfRule type="cellIs" dxfId="10" priority="5" operator="greaterThan">
      <formula>0</formula>
    </cfRule>
  </conditionalFormatting>
  <pageMargins left="0.51181102362204722" right="0.51181102362204722" top="0.78740157480314965" bottom="0.98425196850393704" header="0.51181102362204722" footer="0.19685039370078741"/>
  <pageSetup paperSize="8" fitToHeight="0" orientation="landscape" r:id="rId1"/>
  <headerFooter>
    <oddHeader>&amp;L &amp;C &amp;R</oddHeader>
    <oddFooter xml:space="preserve">&amp;C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55D9-4B83-4182-87D4-75D5A9BE8EDA}">
  <sheetPr>
    <pageSetUpPr fitToPage="1"/>
  </sheetPr>
  <dimension ref="A1:P164"/>
  <sheetViews>
    <sheetView view="pageBreakPreview" zoomScale="60" zoomScaleNormal="70" workbookViewId="0">
      <selection activeCell="B5" sqref="B5:L6"/>
    </sheetView>
  </sheetViews>
  <sheetFormatPr defaultColWidth="11.44140625" defaultRowHeight="15.6" x14ac:dyDescent="0.3"/>
  <cols>
    <col min="1" max="16" width="15.6640625" style="73" customWidth="1"/>
    <col min="17" max="16384" width="11.44140625" style="73"/>
  </cols>
  <sheetData>
    <row r="1" spans="1:16" x14ac:dyDescent="0.3">
      <c r="A1" s="391"/>
      <c r="B1" s="394" t="s">
        <v>12</v>
      </c>
      <c r="C1" s="395"/>
      <c r="D1" s="395"/>
      <c r="E1" s="395"/>
      <c r="F1" s="395"/>
      <c r="G1" s="395"/>
      <c r="H1" s="395"/>
      <c r="I1" s="395"/>
      <c r="J1" s="395"/>
      <c r="K1" s="395"/>
      <c r="L1" s="396"/>
      <c r="M1" s="397" t="s">
        <v>13</v>
      </c>
      <c r="N1" s="397"/>
      <c r="O1" s="398" t="s">
        <v>14</v>
      </c>
      <c r="P1" s="399"/>
    </row>
    <row r="2" spans="1:16" x14ac:dyDescent="0.3">
      <c r="A2" s="392"/>
      <c r="B2" s="357" t="s">
        <v>15</v>
      </c>
      <c r="C2" s="358"/>
      <c r="D2" s="358"/>
      <c r="E2" s="358"/>
      <c r="F2" s="358"/>
      <c r="G2" s="358"/>
      <c r="H2" s="358"/>
      <c r="I2" s="358"/>
      <c r="J2" s="358"/>
      <c r="K2" s="358"/>
      <c r="L2" s="359"/>
      <c r="M2" s="360" t="str">
        <f>SINTÉTICO!G2</f>
        <v>SINAPI 06/2024 Desonerado</v>
      </c>
      <c r="N2" s="360"/>
      <c r="O2" s="355">
        <f>SINTÉTICO!I2</f>
        <v>0.29070000000000001</v>
      </c>
      <c r="P2" s="356"/>
    </row>
    <row r="3" spans="1:16" x14ac:dyDescent="0.3">
      <c r="A3" s="392"/>
      <c r="B3" s="357" t="s">
        <v>16</v>
      </c>
      <c r="C3" s="358"/>
      <c r="D3" s="358"/>
      <c r="E3" s="358"/>
      <c r="F3" s="358"/>
      <c r="G3" s="358"/>
      <c r="H3" s="358"/>
      <c r="I3" s="358"/>
      <c r="J3" s="358"/>
      <c r="K3" s="358"/>
      <c r="L3" s="359"/>
      <c r="M3" s="360" t="str">
        <f>SINTÉTICO!G3</f>
        <v>SEDOP 05/2024</v>
      </c>
      <c r="N3" s="360"/>
      <c r="O3" s="355"/>
      <c r="P3" s="356"/>
    </row>
    <row r="4" spans="1:16" x14ac:dyDescent="0.3">
      <c r="A4" s="392"/>
      <c r="B4" s="361" t="s">
        <v>17</v>
      </c>
      <c r="C4" s="362"/>
      <c r="D4" s="362"/>
      <c r="E4" s="362"/>
      <c r="F4" s="362"/>
      <c r="G4" s="362"/>
      <c r="H4" s="362"/>
      <c r="I4" s="362"/>
      <c r="J4" s="362"/>
      <c r="K4" s="362"/>
      <c r="L4" s="363"/>
      <c r="M4" s="377"/>
      <c r="N4" s="377"/>
      <c r="O4" s="378" t="s">
        <v>18</v>
      </c>
      <c r="P4" s="379"/>
    </row>
    <row r="5" spans="1:16" x14ac:dyDescent="0.3">
      <c r="A5" s="392"/>
      <c r="B5" s="380" t="s">
        <v>320</v>
      </c>
      <c r="C5" s="381"/>
      <c r="D5" s="381"/>
      <c r="E5" s="381"/>
      <c r="F5" s="381"/>
      <c r="G5" s="381"/>
      <c r="H5" s="381"/>
      <c r="I5" s="381"/>
      <c r="J5" s="381"/>
      <c r="K5" s="381"/>
      <c r="L5" s="382"/>
      <c r="M5" s="358"/>
      <c r="N5" s="358"/>
      <c r="O5" s="386" t="s">
        <v>19</v>
      </c>
      <c r="P5" s="387"/>
    </row>
    <row r="6" spans="1:16" ht="16.2" thickBot="1" x14ac:dyDescent="0.35">
      <c r="A6" s="393"/>
      <c r="B6" s="383"/>
      <c r="C6" s="384"/>
      <c r="D6" s="384"/>
      <c r="E6" s="384"/>
      <c r="F6" s="384"/>
      <c r="G6" s="384"/>
      <c r="H6" s="384"/>
      <c r="I6" s="384"/>
      <c r="J6" s="384"/>
      <c r="K6" s="384"/>
      <c r="L6" s="385"/>
      <c r="M6" s="390"/>
      <c r="N6" s="390"/>
      <c r="O6" s="388"/>
      <c r="P6" s="389"/>
    </row>
    <row r="7" spans="1:16" ht="16.2" thickBot="1" x14ac:dyDescent="0.35">
      <c r="A7" s="368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70"/>
    </row>
    <row r="8" spans="1:16" x14ac:dyDescent="0.3">
      <c r="A8" s="371" t="s">
        <v>319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3"/>
    </row>
    <row r="9" spans="1:16" ht="16.2" thickBot="1" x14ac:dyDescent="0.35">
      <c r="A9" s="374"/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6"/>
    </row>
    <row r="10" spans="1:16" s="77" customFormat="1" ht="13.8" x14ac:dyDescent="0.3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s="77" customFormat="1" ht="13.8" x14ac:dyDescent="0.3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6"/>
    </row>
    <row r="12" spans="1:16" s="77" customFormat="1" ht="13.8" x14ac:dyDescent="0.3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</row>
    <row r="13" spans="1:16" s="77" customFormat="1" ht="13.8" x14ac:dyDescent="0.3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</row>
    <row r="14" spans="1:16" s="77" customFormat="1" ht="13.8" x14ac:dyDescent="0.3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</row>
    <row r="15" spans="1:16" s="77" customFormat="1" ht="13.8" x14ac:dyDescent="0.3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</row>
    <row r="16" spans="1:16" s="77" customFormat="1" ht="13.8" x14ac:dyDescent="0.3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</row>
    <row r="17" spans="1:16" s="77" customFormat="1" ht="13.8" x14ac:dyDescent="0.3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</row>
    <row r="18" spans="1:16" s="77" customFormat="1" ht="13.8" x14ac:dyDescent="0.3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</row>
    <row r="19" spans="1:16" s="77" customFormat="1" ht="13.8" x14ac:dyDescent="0.3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</row>
    <row r="20" spans="1:16" s="77" customFormat="1" ht="13.8" x14ac:dyDescent="0.3">
      <c r="A20" s="74"/>
      <c r="B20" s="78"/>
      <c r="C20" s="75"/>
      <c r="D20" s="75"/>
      <c r="E20" s="75"/>
      <c r="F20" s="79"/>
      <c r="G20" s="75"/>
      <c r="H20" s="75"/>
      <c r="I20" s="75"/>
      <c r="J20" s="75"/>
      <c r="K20" s="75"/>
      <c r="L20" s="75"/>
      <c r="M20" s="75"/>
      <c r="N20" s="75"/>
      <c r="O20" s="75"/>
      <c r="P20" s="76"/>
    </row>
    <row r="21" spans="1:16" s="77" customFormat="1" ht="13.8" x14ac:dyDescent="0.3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6"/>
    </row>
    <row r="22" spans="1:16" s="77" customFormat="1" ht="13.8" x14ac:dyDescent="0.3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</row>
    <row r="23" spans="1:16" s="77" customFormat="1" ht="13.8" x14ac:dyDescent="0.3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/>
    </row>
    <row r="24" spans="1:16" s="77" customFormat="1" ht="13.8" x14ac:dyDescent="0.3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80"/>
      <c r="M24" s="75"/>
      <c r="N24" s="75"/>
      <c r="O24" s="75"/>
      <c r="P24" s="76"/>
    </row>
    <row r="25" spans="1:16" s="77" customFormat="1" ht="13.8" x14ac:dyDescent="0.3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</row>
    <row r="26" spans="1:16" s="77" customFormat="1" ht="13.8" x14ac:dyDescent="0.3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6"/>
    </row>
    <row r="27" spans="1:16" s="77" customFormat="1" ht="13.8" x14ac:dyDescent="0.3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</row>
    <row r="28" spans="1:16" s="77" customFormat="1" ht="13.8" x14ac:dyDescent="0.3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6"/>
    </row>
    <row r="29" spans="1:16" s="77" customFormat="1" ht="13.8" x14ac:dyDescent="0.3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</row>
    <row r="30" spans="1:16" s="77" customFormat="1" ht="13.8" x14ac:dyDescent="0.3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s="77" customFormat="1" ht="13.8" x14ac:dyDescent="0.3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6" s="77" customFormat="1" ht="13.8" x14ac:dyDescent="0.3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</row>
    <row r="33" spans="1:16" s="77" customFormat="1" ht="13.8" x14ac:dyDescent="0.3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6"/>
    </row>
    <row r="34" spans="1:16" s="77" customFormat="1" ht="13.8" x14ac:dyDescent="0.3">
      <c r="A34" s="74"/>
      <c r="B34" s="75"/>
      <c r="C34" s="75"/>
      <c r="D34" s="75"/>
      <c r="E34" s="81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</row>
    <row r="35" spans="1:16" s="77" customFormat="1" ht="13.8" x14ac:dyDescent="0.3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</row>
    <row r="36" spans="1:16" s="77" customFormat="1" ht="13.8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6"/>
    </row>
    <row r="37" spans="1:16" s="77" customFormat="1" ht="13.8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</row>
    <row r="38" spans="1:16" s="77" customFormat="1" ht="13.8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/>
    </row>
    <row r="39" spans="1:16" s="77" customFormat="1" ht="13.8" x14ac:dyDescent="0.3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6"/>
    </row>
    <row r="40" spans="1:16" s="77" customFormat="1" ht="13.8" x14ac:dyDescent="0.3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6"/>
    </row>
    <row r="41" spans="1:16" s="77" customFormat="1" ht="13.8" x14ac:dyDescent="0.3">
      <c r="A41" s="74"/>
      <c r="B41" s="80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</row>
    <row r="42" spans="1:16" s="77" customFormat="1" ht="13.8" x14ac:dyDescent="0.3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6"/>
    </row>
    <row r="43" spans="1:16" s="77" customFormat="1" ht="13.8" x14ac:dyDescent="0.3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/>
    </row>
    <row r="44" spans="1:16" s="77" customFormat="1" ht="13.8" x14ac:dyDescent="0.3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</row>
    <row r="45" spans="1:16" s="77" customFormat="1" ht="13.8" x14ac:dyDescent="0.3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6"/>
    </row>
    <row r="46" spans="1:16" s="77" customFormat="1" ht="13.8" x14ac:dyDescent="0.3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6"/>
    </row>
    <row r="47" spans="1:16" s="77" customFormat="1" ht="13.8" x14ac:dyDescent="0.3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6"/>
    </row>
    <row r="48" spans="1:16" s="77" customFormat="1" ht="13.8" x14ac:dyDescent="0.3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6"/>
    </row>
    <row r="49" spans="1:16" s="77" customFormat="1" ht="13.8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6"/>
    </row>
    <row r="50" spans="1:16" s="77" customFormat="1" ht="13.8" x14ac:dyDescent="0.3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6"/>
    </row>
    <row r="51" spans="1:16" s="77" customFormat="1" ht="13.8" x14ac:dyDescent="0.3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6"/>
    </row>
    <row r="52" spans="1:16" s="77" customFormat="1" ht="13.8" x14ac:dyDescent="0.3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6"/>
    </row>
    <row r="53" spans="1:16" s="77" customFormat="1" ht="13.8" x14ac:dyDescent="0.3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6"/>
    </row>
    <row r="54" spans="1:16" s="77" customFormat="1" ht="13.8" x14ac:dyDescent="0.3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6"/>
    </row>
    <row r="55" spans="1:16" s="77" customFormat="1" ht="13.8" x14ac:dyDescent="0.3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</row>
    <row r="56" spans="1:16" s="77" customFormat="1" ht="13.8" x14ac:dyDescent="0.3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6"/>
    </row>
    <row r="57" spans="1:16" s="77" customFormat="1" ht="13.8" x14ac:dyDescent="0.3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6"/>
    </row>
    <row r="58" spans="1:16" s="77" customFormat="1" ht="13.8" x14ac:dyDescent="0.3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6"/>
    </row>
    <row r="59" spans="1:16" s="77" customFormat="1" ht="13.8" x14ac:dyDescent="0.3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6"/>
    </row>
    <row r="60" spans="1:16" s="77" customFormat="1" ht="13.8" x14ac:dyDescent="0.3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6"/>
    </row>
    <row r="61" spans="1:16" s="77" customFormat="1" ht="13.8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</row>
    <row r="62" spans="1:16" s="77" customFormat="1" ht="13.8" x14ac:dyDescent="0.3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6"/>
    </row>
    <row r="63" spans="1:16" s="77" customFormat="1" ht="13.8" x14ac:dyDescent="0.3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6"/>
    </row>
    <row r="64" spans="1:16" s="77" customFormat="1" ht="13.8" x14ac:dyDescent="0.3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6"/>
    </row>
    <row r="65" spans="1:16" s="77" customFormat="1" ht="13.8" x14ac:dyDescent="0.3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6"/>
    </row>
    <row r="66" spans="1:16" s="77" customFormat="1" ht="13.8" x14ac:dyDescent="0.3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6"/>
    </row>
    <row r="67" spans="1:16" s="77" customFormat="1" ht="13.8" x14ac:dyDescent="0.3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</row>
    <row r="68" spans="1:16" s="77" customFormat="1" ht="14.4" thickBot="1" x14ac:dyDescent="0.35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4"/>
    </row>
    <row r="69" spans="1:16" s="77" customFormat="1" ht="13.8" x14ac:dyDescent="0.3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6"/>
    </row>
    <row r="70" spans="1:16" s="77" customFormat="1" ht="13.8" x14ac:dyDescent="0.3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6"/>
    </row>
    <row r="71" spans="1:16" s="77" customFormat="1" ht="13.8" x14ac:dyDescent="0.3">
      <c r="A71" s="74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6" s="77" customFormat="1" ht="13.8" x14ac:dyDescent="0.3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6"/>
    </row>
    <row r="73" spans="1:16" s="77" customFormat="1" ht="13.8" x14ac:dyDescent="0.3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6" s="77" customFormat="1" ht="13.8" x14ac:dyDescent="0.3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6"/>
    </row>
    <row r="75" spans="1:16" s="77" customFormat="1" ht="13.8" x14ac:dyDescent="0.3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6" s="77" customFormat="1" ht="13.8" x14ac:dyDescent="0.3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6"/>
    </row>
    <row r="77" spans="1:16" s="77" customFormat="1" ht="13.8" x14ac:dyDescent="0.3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6"/>
    </row>
    <row r="78" spans="1:16" s="77" customFormat="1" ht="13.8" x14ac:dyDescent="0.3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6"/>
    </row>
    <row r="79" spans="1:16" s="77" customFormat="1" ht="13.8" x14ac:dyDescent="0.3">
      <c r="A79" s="74"/>
      <c r="B79" s="78"/>
      <c r="C79" s="75"/>
      <c r="D79" s="75"/>
      <c r="E79" s="75"/>
      <c r="F79" s="79"/>
      <c r="G79" s="75"/>
      <c r="H79" s="75"/>
      <c r="I79" s="75"/>
      <c r="J79" s="75"/>
      <c r="K79" s="75"/>
      <c r="L79" s="75"/>
      <c r="M79" s="75"/>
      <c r="N79" s="75"/>
      <c r="O79" s="75"/>
      <c r="P79" s="76"/>
    </row>
    <row r="80" spans="1:16" s="77" customFormat="1" ht="13.8" x14ac:dyDescent="0.3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6"/>
    </row>
    <row r="81" spans="1:16" s="77" customFormat="1" ht="13.8" x14ac:dyDescent="0.3">
      <c r="A81" s="74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6"/>
    </row>
    <row r="82" spans="1:16" s="77" customFormat="1" ht="13.8" x14ac:dyDescent="0.3">
      <c r="A82" s="7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6"/>
    </row>
    <row r="83" spans="1:16" s="77" customFormat="1" ht="13.8" x14ac:dyDescent="0.3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80"/>
      <c r="M83" s="75"/>
      <c r="N83" s="75"/>
      <c r="O83" s="75"/>
      <c r="P83" s="76"/>
    </row>
    <row r="84" spans="1:16" s="77" customFormat="1" ht="13.8" x14ac:dyDescent="0.3">
      <c r="A84" s="7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6"/>
    </row>
    <row r="85" spans="1:16" s="77" customFormat="1" ht="13.8" x14ac:dyDescent="0.3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6"/>
    </row>
    <row r="86" spans="1:16" s="77" customFormat="1" ht="13.8" x14ac:dyDescent="0.3">
      <c r="A86" s="74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6"/>
    </row>
    <row r="87" spans="1:16" s="77" customFormat="1" ht="13.8" x14ac:dyDescent="0.3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6"/>
    </row>
    <row r="88" spans="1:16" s="77" customFormat="1" ht="13.8" x14ac:dyDescent="0.3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6"/>
    </row>
    <row r="89" spans="1:16" s="77" customFormat="1" ht="13.8" x14ac:dyDescent="0.3">
      <c r="A89" s="74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6"/>
    </row>
    <row r="90" spans="1:16" s="77" customFormat="1" ht="13.8" x14ac:dyDescent="0.3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6"/>
    </row>
    <row r="91" spans="1:16" s="77" customFormat="1" ht="13.8" x14ac:dyDescent="0.3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6"/>
    </row>
    <row r="92" spans="1:16" s="77" customFormat="1" ht="13.8" x14ac:dyDescent="0.3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6"/>
    </row>
    <row r="93" spans="1:16" s="77" customFormat="1" ht="13.8" x14ac:dyDescent="0.3">
      <c r="A93" s="74"/>
      <c r="B93" s="75"/>
      <c r="C93" s="75"/>
      <c r="D93" s="75"/>
      <c r="E93" s="81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6"/>
    </row>
    <row r="94" spans="1:16" s="77" customFormat="1" ht="13.8" x14ac:dyDescent="0.3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6"/>
    </row>
    <row r="95" spans="1:16" s="77" customFormat="1" ht="13.8" x14ac:dyDescent="0.3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6"/>
    </row>
    <row r="96" spans="1:16" s="77" customFormat="1" ht="13.8" x14ac:dyDescent="0.3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6"/>
    </row>
    <row r="97" spans="1:16" s="77" customFormat="1" ht="13.8" x14ac:dyDescent="0.3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6"/>
    </row>
    <row r="98" spans="1:16" s="77" customFormat="1" ht="13.8" x14ac:dyDescent="0.3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6"/>
    </row>
    <row r="99" spans="1:16" s="77" customFormat="1" ht="13.8" x14ac:dyDescent="0.3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6"/>
    </row>
    <row r="100" spans="1:16" s="77" customFormat="1" ht="13.8" x14ac:dyDescent="0.3">
      <c r="A100" s="74"/>
      <c r="B100" s="80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6"/>
    </row>
    <row r="101" spans="1:16" s="77" customFormat="1" ht="13.8" x14ac:dyDescent="0.3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6"/>
    </row>
    <row r="102" spans="1:16" s="77" customFormat="1" ht="13.8" x14ac:dyDescent="0.3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6"/>
    </row>
    <row r="103" spans="1:16" s="77" customFormat="1" ht="13.8" x14ac:dyDescent="0.3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6"/>
    </row>
    <row r="104" spans="1:16" s="77" customFormat="1" ht="13.8" x14ac:dyDescent="0.3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6"/>
    </row>
    <row r="105" spans="1:16" s="77" customFormat="1" ht="13.8" x14ac:dyDescent="0.3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6"/>
    </row>
    <row r="106" spans="1:16" s="77" customFormat="1" ht="13.8" x14ac:dyDescent="0.3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6"/>
    </row>
    <row r="107" spans="1:16" s="77" customFormat="1" ht="13.8" x14ac:dyDescent="0.3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6"/>
    </row>
    <row r="108" spans="1:16" s="77" customFormat="1" ht="13.8" x14ac:dyDescent="0.3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6"/>
    </row>
    <row r="109" spans="1:16" s="77" customFormat="1" ht="13.8" x14ac:dyDescent="0.3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6"/>
    </row>
    <row r="110" spans="1:16" s="77" customFormat="1" ht="13.8" x14ac:dyDescent="0.3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6"/>
    </row>
    <row r="111" spans="1:16" s="77" customFormat="1" ht="13.8" x14ac:dyDescent="0.3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6"/>
    </row>
    <row r="112" spans="1:16" s="77" customFormat="1" ht="13.8" x14ac:dyDescent="0.3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6"/>
    </row>
    <row r="113" spans="1:16" s="77" customFormat="1" ht="13.8" x14ac:dyDescent="0.3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6"/>
    </row>
    <row r="114" spans="1:16" s="77" customFormat="1" ht="13.8" x14ac:dyDescent="0.3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6"/>
    </row>
    <row r="115" spans="1:16" s="77" customFormat="1" ht="13.8" x14ac:dyDescent="0.3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6"/>
    </row>
    <row r="116" spans="1:16" s="77" customFormat="1" ht="13.8" x14ac:dyDescent="0.3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6"/>
    </row>
    <row r="117" spans="1:16" s="77" customFormat="1" ht="13.8" x14ac:dyDescent="0.3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6"/>
    </row>
    <row r="118" spans="1:16" s="77" customFormat="1" ht="13.8" x14ac:dyDescent="0.3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6"/>
    </row>
    <row r="119" spans="1:16" s="77" customFormat="1" ht="13.8" x14ac:dyDescent="0.3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6"/>
    </row>
    <row r="120" spans="1:16" s="77" customFormat="1" ht="13.8" x14ac:dyDescent="0.3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6"/>
    </row>
    <row r="121" spans="1:16" s="77" customFormat="1" ht="13.8" x14ac:dyDescent="0.3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6"/>
    </row>
    <row r="122" spans="1:16" s="77" customFormat="1" ht="13.8" x14ac:dyDescent="0.3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6"/>
    </row>
    <row r="123" spans="1:16" s="77" customFormat="1" ht="13.8" x14ac:dyDescent="0.3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6"/>
    </row>
    <row r="124" spans="1:16" s="77" customFormat="1" ht="13.8" x14ac:dyDescent="0.3">
      <c r="A124" s="74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6"/>
    </row>
    <row r="125" spans="1:16" s="77" customFormat="1" ht="13.8" x14ac:dyDescent="0.3">
      <c r="A125" s="74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6"/>
    </row>
    <row r="126" spans="1:16" s="77" customFormat="1" ht="13.8" x14ac:dyDescent="0.3">
      <c r="A126" s="74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6"/>
    </row>
    <row r="127" spans="1:16" s="77" customFormat="1" ht="14.4" thickBot="1" x14ac:dyDescent="0.35">
      <c r="A127" s="82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4"/>
    </row>
    <row r="128" spans="1:16" s="77" customFormat="1" ht="13.8" x14ac:dyDescent="0.3">
      <c r="A128" s="7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6"/>
    </row>
    <row r="129" spans="1:16" s="77" customFormat="1" ht="13.8" x14ac:dyDescent="0.3">
      <c r="A129" s="74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6"/>
    </row>
    <row r="130" spans="1:16" s="77" customFormat="1" ht="13.8" x14ac:dyDescent="0.3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6"/>
    </row>
    <row r="131" spans="1:16" s="77" customFormat="1" ht="13.8" x14ac:dyDescent="0.3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6"/>
    </row>
    <row r="132" spans="1:16" s="77" customFormat="1" ht="13.8" x14ac:dyDescent="0.3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6"/>
    </row>
    <row r="133" spans="1:16" s="77" customFormat="1" ht="13.8" x14ac:dyDescent="0.3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6"/>
    </row>
    <row r="134" spans="1:16" s="77" customFormat="1" ht="13.8" x14ac:dyDescent="0.3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6"/>
    </row>
    <row r="135" spans="1:16" s="77" customFormat="1" ht="13.8" x14ac:dyDescent="0.3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6"/>
    </row>
    <row r="136" spans="1:16" s="77" customFormat="1" ht="13.8" x14ac:dyDescent="0.3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6"/>
    </row>
    <row r="137" spans="1:16" s="77" customFormat="1" ht="13.8" x14ac:dyDescent="0.3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6"/>
    </row>
    <row r="138" spans="1:16" s="77" customFormat="1" ht="13.8" x14ac:dyDescent="0.3">
      <c r="A138" s="74"/>
      <c r="B138" s="78"/>
      <c r="C138" s="75"/>
      <c r="D138" s="75"/>
      <c r="E138" s="75"/>
      <c r="F138" s="79"/>
      <c r="G138" s="75"/>
      <c r="H138" s="75"/>
      <c r="I138" s="75"/>
      <c r="J138" s="75"/>
      <c r="K138" s="75"/>
      <c r="L138" s="75"/>
      <c r="M138" s="75"/>
      <c r="N138" s="75"/>
      <c r="O138" s="75"/>
      <c r="P138" s="76"/>
    </row>
    <row r="139" spans="1:16" s="77" customFormat="1" ht="13.8" x14ac:dyDescent="0.3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6"/>
    </row>
    <row r="140" spans="1:16" s="77" customFormat="1" ht="13.8" x14ac:dyDescent="0.3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6"/>
    </row>
    <row r="141" spans="1:16" s="77" customFormat="1" ht="13.8" x14ac:dyDescent="0.3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6"/>
    </row>
    <row r="142" spans="1:16" s="77" customFormat="1" ht="13.8" x14ac:dyDescent="0.3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80"/>
      <c r="M142" s="75"/>
      <c r="N142" s="75"/>
      <c r="O142" s="75"/>
      <c r="P142" s="76"/>
    </row>
    <row r="143" spans="1:16" s="77" customFormat="1" ht="13.8" x14ac:dyDescent="0.3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6"/>
    </row>
    <row r="144" spans="1:16" s="77" customFormat="1" ht="13.8" x14ac:dyDescent="0.3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6"/>
    </row>
    <row r="145" spans="1:16" s="77" customFormat="1" ht="13.8" x14ac:dyDescent="0.3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6"/>
    </row>
    <row r="146" spans="1:16" s="77" customFormat="1" ht="13.8" x14ac:dyDescent="0.3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6"/>
    </row>
    <row r="147" spans="1:16" s="77" customFormat="1" ht="13.8" x14ac:dyDescent="0.3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6"/>
    </row>
    <row r="148" spans="1:16" s="77" customFormat="1" ht="13.8" x14ac:dyDescent="0.3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6"/>
    </row>
    <row r="149" spans="1:16" s="77" customFormat="1" ht="13.8" x14ac:dyDescent="0.3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6"/>
    </row>
    <row r="150" spans="1:16" s="77" customFormat="1" ht="13.8" x14ac:dyDescent="0.3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6"/>
    </row>
    <row r="151" spans="1:16" s="77" customFormat="1" ht="13.8" x14ac:dyDescent="0.3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6"/>
    </row>
    <row r="152" spans="1:16" s="77" customFormat="1" ht="13.8" x14ac:dyDescent="0.3">
      <c r="A152" s="74"/>
      <c r="B152" s="75"/>
      <c r="C152" s="75"/>
      <c r="D152" s="75"/>
      <c r="E152" s="81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6"/>
    </row>
    <row r="153" spans="1:16" s="77" customFormat="1" ht="13.8" x14ac:dyDescent="0.3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6"/>
    </row>
    <row r="154" spans="1:16" s="77" customFormat="1" ht="13.8" x14ac:dyDescent="0.3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6"/>
    </row>
    <row r="155" spans="1:16" s="77" customFormat="1" ht="13.8" x14ac:dyDescent="0.3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6"/>
    </row>
    <row r="156" spans="1:16" s="77" customFormat="1" ht="13.8" x14ac:dyDescent="0.3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6"/>
    </row>
    <row r="157" spans="1:16" s="77" customFormat="1" ht="14.4" thickBot="1" x14ac:dyDescent="0.35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6"/>
    </row>
    <row r="158" spans="1:16" s="77" customFormat="1" ht="14.25" customHeight="1" x14ac:dyDescent="0.3">
      <c r="A158" s="310"/>
      <c r="B158" s="311"/>
      <c r="C158" s="311"/>
      <c r="D158" s="311"/>
      <c r="E158" s="311"/>
      <c r="F158" s="311"/>
      <c r="G158" s="311"/>
      <c r="H158" s="311"/>
      <c r="I158" s="311"/>
      <c r="J158" s="311"/>
      <c r="K158" s="311"/>
      <c r="L158" s="311"/>
      <c r="M158" s="311"/>
      <c r="N158" s="311"/>
      <c r="O158" s="311"/>
      <c r="P158" s="312"/>
    </row>
    <row r="159" spans="1:16" s="77" customFormat="1" ht="13.8" x14ac:dyDescent="0.3">
      <c r="A159" s="348"/>
      <c r="B159" s="364"/>
      <c r="C159" s="364"/>
      <c r="D159" s="364"/>
      <c r="E159" s="364"/>
      <c r="F159" s="364"/>
      <c r="G159" s="364"/>
      <c r="H159" s="364"/>
      <c r="I159" s="364"/>
      <c r="J159" s="364"/>
      <c r="K159" s="364"/>
      <c r="L159" s="364"/>
      <c r="M159" s="364"/>
      <c r="N159" s="364"/>
      <c r="O159" s="364"/>
      <c r="P159" s="350"/>
    </row>
    <row r="160" spans="1:16" s="77" customFormat="1" ht="13.8" x14ac:dyDescent="0.3">
      <c r="A160" s="348"/>
      <c r="B160" s="364"/>
      <c r="C160" s="364"/>
      <c r="D160" s="364"/>
      <c r="E160" s="364"/>
      <c r="F160" s="364"/>
      <c r="G160" s="364"/>
      <c r="H160" s="364"/>
      <c r="I160" s="364"/>
      <c r="J160" s="364"/>
      <c r="K160" s="364"/>
      <c r="L160" s="364"/>
      <c r="M160" s="364"/>
      <c r="N160" s="364"/>
      <c r="O160" s="364"/>
      <c r="P160" s="350"/>
    </row>
    <row r="161" spans="1:16" s="77" customFormat="1" ht="13.8" x14ac:dyDescent="0.3">
      <c r="A161" s="348" t="s">
        <v>189</v>
      </c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  <c r="N161" s="364"/>
      <c r="O161" s="364"/>
      <c r="P161" s="350"/>
    </row>
    <row r="162" spans="1:16" s="77" customFormat="1" ht="13.8" x14ac:dyDescent="0.3">
      <c r="A162" s="348" t="s">
        <v>190</v>
      </c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  <c r="N162" s="364"/>
      <c r="O162" s="364"/>
      <c r="P162" s="350"/>
    </row>
    <row r="163" spans="1:16" s="77" customFormat="1" ht="13.8" x14ac:dyDescent="0.3">
      <c r="A163" s="348" t="s">
        <v>191</v>
      </c>
      <c r="B163" s="364"/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4"/>
      <c r="N163" s="364"/>
      <c r="O163" s="364"/>
      <c r="P163" s="350"/>
    </row>
    <row r="164" spans="1:16" s="77" customFormat="1" ht="15" customHeight="1" thickBot="1" x14ac:dyDescent="0.35">
      <c r="A164" s="365" t="s">
        <v>192</v>
      </c>
      <c r="B164" s="366"/>
      <c r="C164" s="366"/>
      <c r="D164" s="366"/>
      <c r="E164" s="366"/>
      <c r="F164" s="366"/>
      <c r="G164" s="366"/>
      <c r="H164" s="366"/>
      <c r="I164" s="366"/>
      <c r="J164" s="366"/>
      <c r="K164" s="366"/>
      <c r="L164" s="366"/>
      <c r="M164" s="366"/>
      <c r="N164" s="366"/>
      <c r="O164" s="366"/>
      <c r="P164" s="367"/>
    </row>
  </sheetData>
  <mergeCells count="25">
    <mergeCell ref="A164:P164"/>
    <mergeCell ref="A7:P7"/>
    <mergeCell ref="A8:P9"/>
    <mergeCell ref="M4:N4"/>
    <mergeCell ref="O4:P4"/>
    <mergeCell ref="B5:L6"/>
    <mergeCell ref="M5:N5"/>
    <mergeCell ref="O5:P6"/>
    <mergeCell ref="M6:N6"/>
    <mergeCell ref="A1:A6"/>
    <mergeCell ref="B1:L1"/>
    <mergeCell ref="M1:N1"/>
    <mergeCell ref="O1:P1"/>
    <mergeCell ref="B2:L2"/>
    <mergeCell ref="M2:N2"/>
    <mergeCell ref="A158:P158"/>
    <mergeCell ref="O2:P3"/>
    <mergeCell ref="B3:L3"/>
    <mergeCell ref="M3:N3"/>
    <mergeCell ref="B4:L4"/>
    <mergeCell ref="A163:P163"/>
    <mergeCell ref="A159:P159"/>
    <mergeCell ref="A160:P160"/>
    <mergeCell ref="A161:P161"/>
    <mergeCell ref="A162:P162"/>
  </mergeCells>
  <printOptions horizontalCentered="1"/>
  <pageMargins left="0.51181102362204722" right="0.51181102362204722" top="0.78740157480314965" bottom="0.98425196850393704" header="0.31496062992125984" footer="0.19685039370078741"/>
  <pageSetup paperSize="9" scale="54" fitToHeight="0" orientation="landscape" r:id="rId1"/>
  <headerFooter>
    <oddFooter>&amp;L&amp;"Arial Narrow,Normal"&amp;10Débora Quézia Escócio de Almeida
Engenheira Civil
CREA nº: 1518468780PA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2338-FD0D-4C59-858D-EB78A0485096}">
  <sheetPr>
    <pageSetUpPr fitToPage="1"/>
  </sheetPr>
  <dimension ref="A1:K156"/>
  <sheetViews>
    <sheetView view="pageBreakPreview" zoomScale="85" zoomScaleNormal="100" zoomScaleSheetLayoutView="85" workbookViewId="0">
      <selection activeCell="D11" sqref="D11"/>
    </sheetView>
  </sheetViews>
  <sheetFormatPr defaultColWidth="9.109375" defaultRowHeight="13.8" x14ac:dyDescent="0.3"/>
  <cols>
    <col min="1" max="1" width="11.44140625" style="194" customWidth="1"/>
    <col min="2" max="2" width="13.6640625" style="194" customWidth="1"/>
    <col min="3" max="3" width="11.44140625" style="194" customWidth="1"/>
    <col min="4" max="4" width="68.5546875" style="194" customWidth="1"/>
    <col min="5" max="7" width="13.6640625" style="194" customWidth="1"/>
    <col min="8" max="8" width="16" style="194" customWidth="1"/>
    <col min="9" max="16384" width="9.109375" style="194"/>
  </cols>
  <sheetData>
    <row r="1" spans="1:11" x14ac:dyDescent="0.3">
      <c r="A1" s="404"/>
      <c r="B1" s="303" t="str">
        <f>SINTÉTICO!B1</f>
        <v>Prefeitura Municipal de Santarém</v>
      </c>
      <c r="C1" s="304"/>
      <c r="D1" s="305"/>
      <c r="E1" s="306" t="s">
        <v>13</v>
      </c>
      <c r="F1" s="306"/>
      <c r="G1" s="266" t="s">
        <v>14</v>
      </c>
      <c r="H1" s="267"/>
    </row>
    <row r="2" spans="1:11" x14ac:dyDescent="0.3">
      <c r="A2" s="405"/>
      <c r="B2" s="288" t="str">
        <f>SINTÉTICO!B2</f>
        <v>Secretaria Municipal de Infraestrutura</v>
      </c>
      <c r="C2" s="289"/>
      <c r="D2" s="290"/>
      <c r="E2" s="291" t="str">
        <f>SINTÉTICO!G2</f>
        <v>SINAPI 06/2024 Desonerado</v>
      </c>
      <c r="F2" s="291"/>
      <c r="G2" s="271">
        <f>SINTÉTICO!I2</f>
        <v>0.29070000000000001</v>
      </c>
      <c r="H2" s="272"/>
    </row>
    <row r="3" spans="1:11" x14ac:dyDescent="0.3">
      <c r="A3" s="405"/>
      <c r="B3" s="288" t="str">
        <f>SINTÉTICO!B3</f>
        <v>CNPJ: 05.182.233/0007-61</v>
      </c>
      <c r="C3" s="289"/>
      <c r="D3" s="290"/>
      <c r="E3" s="270" t="str">
        <f>SINTÉTICO!G3</f>
        <v>SEDOP 05/2024</v>
      </c>
      <c r="F3" s="270"/>
      <c r="G3" s="271"/>
      <c r="H3" s="272"/>
    </row>
    <row r="4" spans="1:11" x14ac:dyDescent="0.3">
      <c r="A4" s="405"/>
      <c r="B4" s="407" t="str">
        <f>SINTÉTICO!B4</f>
        <v xml:space="preserve">Av. Barão do Rio Branco, S/N - Bairro: Aeroporto Velho - CEP: 68.005-310 - Santarém/PA </v>
      </c>
      <c r="C4" s="408"/>
      <c r="D4" s="409"/>
      <c r="E4" s="273"/>
      <c r="F4" s="273"/>
      <c r="G4" s="274" t="s">
        <v>18</v>
      </c>
      <c r="H4" s="275"/>
    </row>
    <row r="5" spans="1:11" x14ac:dyDescent="0.3">
      <c r="A5" s="405"/>
      <c r="B5" s="410" t="str">
        <f>SINTÉTICO!B5</f>
        <v>OBJETO: CONSTRUÇÃO DE UNIDADE BÁSICA DE SAÚDE (UBS) PIRACAOERA - MODELO MUNICIPAL</v>
      </c>
      <c r="C5" s="411"/>
      <c r="D5" s="412"/>
      <c r="E5" s="289"/>
      <c r="F5" s="289"/>
      <c r="G5" s="241" t="s">
        <v>19</v>
      </c>
      <c r="H5" s="242"/>
    </row>
    <row r="6" spans="1:11" ht="14.4" thickBot="1" x14ac:dyDescent="0.35">
      <c r="A6" s="406"/>
      <c r="B6" s="413"/>
      <c r="C6" s="414"/>
      <c r="D6" s="415"/>
      <c r="E6" s="245"/>
      <c r="F6" s="245"/>
      <c r="G6" s="243"/>
      <c r="H6" s="244"/>
    </row>
    <row r="7" spans="1:11" x14ac:dyDescent="0.3">
      <c r="A7" s="400" t="s">
        <v>451</v>
      </c>
      <c r="B7" s="401"/>
      <c r="C7" s="401"/>
      <c r="D7" s="401"/>
      <c r="E7" s="401"/>
      <c r="F7" s="401"/>
      <c r="G7" s="401"/>
      <c r="H7" s="402"/>
    </row>
    <row r="8" spans="1:11" x14ac:dyDescent="0.3">
      <c r="A8" s="183" t="s">
        <v>497</v>
      </c>
      <c r="B8" s="181" t="s">
        <v>47</v>
      </c>
      <c r="C8" s="180" t="s">
        <v>48</v>
      </c>
      <c r="D8" s="180" t="s">
        <v>49</v>
      </c>
      <c r="E8" s="182" t="s">
        <v>452</v>
      </c>
      <c r="F8" s="181" t="s">
        <v>42</v>
      </c>
      <c r="G8" s="181" t="s">
        <v>453</v>
      </c>
      <c r="H8" s="184" t="s">
        <v>44</v>
      </c>
      <c r="K8" s="214" t="str">
        <f t="shared" ref="K8:K72" si="0">H8</f>
        <v>Total</v>
      </c>
    </row>
    <row r="9" spans="1:11" x14ac:dyDescent="0.3">
      <c r="A9" s="113" t="s">
        <v>454</v>
      </c>
      <c r="B9" s="114" t="s">
        <v>622</v>
      </c>
      <c r="C9" s="115" t="s">
        <v>51</v>
      </c>
      <c r="D9" s="115" t="s">
        <v>52</v>
      </c>
      <c r="E9" s="116" t="s">
        <v>53</v>
      </c>
      <c r="F9" s="117">
        <v>1</v>
      </c>
      <c r="G9" s="118">
        <f>SUM(H10:H11)</f>
        <v>13805</v>
      </c>
      <c r="H9" s="119">
        <f>G9</f>
        <v>13805</v>
      </c>
      <c r="I9" s="194" t="s">
        <v>598</v>
      </c>
      <c r="K9" s="214">
        <f t="shared" si="0"/>
        <v>13805</v>
      </c>
    </row>
    <row r="10" spans="1:11" ht="27.6" x14ac:dyDescent="0.3">
      <c r="A10" s="200" t="s">
        <v>455</v>
      </c>
      <c r="B10" s="196" t="s">
        <v>498</v>
      </c>
      <c r="C10" s="195" t="s">
        <v>54</v>
      </c>
      <c r="D10" s="195" t="s">
        <v>458</v>
      </c>
      <c r="E10" s="197" t="s">
        <v>457</v>
      </c>
      <c r="F10" s="198">
        <v>110</v>
      </c>
      <c r="G10" s="199">
        <v>21.37</v>
      </c>
      <c r="H10" s="201">
        <f>G10*F10</f>
        <v>2350.6999999999998</v>
      </c>
      <c r="I10" s="194" t="s">
        <v>597</v>
      </c>
      <c r="K10" s="214">
        <f t="shared" si="0"/>
        <v>2350.6999999999998</v>
      </c>
    </row>
    <row r="11" spans="1:11" ht="27.6" x14ac:dyDescent="0.3">
      <c r="A11" s="200" t="s">
        <v>455</v>
      </c>
      <c r="B11" s="196" t="s">
        <v>499</v>
      </c>
      <c r="C11" s="195" t="s">
        <v>54</v>
      </c>
      <c r="D11" s="195" t="s">
        <v>456</v>
      </c>
      <c r="E11" s="197" t="s">
        <v>457</v>
      </c>
      <c r="F11" s="198">
        <v>110</v>
      </c>
      <c r="G11" s="199">
        <v>104.13</v>
      </c>
      <c r="H11" s="201">
        <f>G11*F11</f>
        <v>11454.3</v>
      </c>
      <c r="I11" s="194" t="s">
        <v>598</v>
      </c>
      <c r="K11" s="214">
        <f t="shared" si="0"/>
        <v>11454.3</v>
      </c>
    </row>
    <row r="12" spans="1:11" ht="14.4" thickBot="1" x14ac:dyDescent="0.35">
      <c r="A12" s="224"/>
      <c r="B12" s="225"/>
      <c r="C12" s="225"/>
      <c r="D12" s="225"/>
      <c r="E12" s="225"/>
      <c r="F12" s="416"/>
      <c r="G12" s="416"/>
      <c r="H12" s="226"/>
      <c r="K12" s="214">
        <f t="shared" si="0"/>
        <v>0</v>
      </c>
    </row>
    <row r="13" spans="1:11" x14ac:dyDescent="0.3">
      <c r="K13" s="214"/>
    </row>
    <row r="14" spans="1:11" x14ac:dyDescent="0.3">
      <c r="A14" s="183" t="s">
        <v>31</v>
      </c>
      <c r="B14" s="181" t="s">
        <v>47</v>
      </c>
      <c r="C14" s="180" t="s">
        <v>48</v>
      </c>
      <c r="D14" s="180" t="s">
        <v>49</v>
      </c>
      <c r="E14" s="182" t="s">
        <v>452</v>
      </c>
      <c r="F14" s="181" t="s">
        <v>42</v>
      </c>
      <c r="G14" s="181" t="s">
        <v>453</v>
      </c>
      <c r="H14" s="184" t="s">
        <v>44</v>
      </c>
      <c r="K14" s="214"/>
    </row>
    <row r="15" spans="1:11" x14ac:dyDescent="0.3">
      <c r="A15" s="113" t="s">
        <v>454</v>
      </c>
      <c r="B15" s="114" t="s">
        <v>608</v>
      </c>
      <c r="C15" s="115" t="s">
        <v>51</v>
      </c>
      <c r="D15" s="115" t="str">
        <f>SINTÉTICO!D15</f>
        <v>Mobilização e Desmobilização de Pessoal e Equipamentos Comunidades de Rios</v>
      </c>
      <c r="E15" s="116" t="s">
        <v>53</v>
      </c>
      <c r="F15" s="117">
        <v>1</v>
      </c>
      <c r="G15" s="118">
        <f>H16</f>
        <v>5029.4399999999996</v>
      </c>
      <c r="H15" s="119">
        <f>G15</f>
        <v>5029.4399999999996</v>
      </c>
      <c r="K15" s="214"/>
    </row>
    <row r="16" spans="1:11" ht="27.6" x14ac:dyDescent="0.3">
      <c r="A16" s="200" t="s">
        <v>455</v>
      </c>
      <c r="B16" s="498">
        <v>5919716</v>
      </c>
      <c r="C16" s="499" t="s">
        <v>637</v>
      </c>
      <c r="D16" s="195" t="s">
        <v>638</v>
      </c>
      <c r="E16" s="197" t="s">
        <v>639</v>
      </c>
      <c r="F16" s="198">
        <v>1</v>
      </c>
      <c r="G16" s="199">
        <v>5029.4399999999996</v>
      </c>
      <c r="H16" s="201">
        <f>G16</f>
        <v>5029.4399999999996</v>
      </c>
      <c r="K16" s="214"/>
    </row>
    <row r="17" spans="1:11" ht="14.4" thickBot="1" x14ac:dyDescent="0.35">
      <c r="A17" s="120"/>
      <c r="B17" s="221"/>
      <c r="C17" s="221"/>
      <c r="D17" s="221"/>
      <c r="E17" s="221"/>
      <c r="F17" s="221"/>
      <c r="G17" s="221"/>
      <c r="H17" s="121"/>
      <c r="K17" s="214"/>
    </row>
    <row r="18" spans="1:11" ht="14.4" thickTop="1" x14ac:dyDescent="0.3">
      <c r="A18" s="110"/>
      <c r="B18" s="111"/>
      <c r="C18" s="111"/>
      <c r="D18" s="111"/>
      <c r="E18" s="111"/>
      <c r="F18" s="111"/>
      <c r="G18" s="111"/>
      <c r="H18" s="112"/>
      <c r="K18" s="214">
        <f t="shared" si="0"/>
        <v>0</v>
      </c>
    </row>
    <row r="19" spans="1:11" x14ac:dyDescent="0.3">
      <c r="A19" s="183" t="s">
        <v>593</v>
      </c>
      <c r="B19" s="181" t="s">
        <v>47</v>
      </c>
      <c r="C19" s="180" t="s">
        <v>48</v>
      </c>
      <c r="D19" s="180" t="s">
        <v>49</v>
      </c>
      <c r="E19" s="182" t="s">
        <v>452</v>
      </c>
      <c r="F19" s="181" t="s">
        <v>42</v>
      </c>
      <c r="G19" s="181" t="s">
        <v>453</v>
      </c>
      <c r="H19" s="184" t="s">
        <v>44</v>
      </c>
      <c r="K19" s="214" t="str">
        <f t="shared" si="0"/>
        <v>Total</v>
      </c>
    </row>
    <row r="20" spans="1:11" x14ac:dyDescent="0.3">
      <c r="A20" s="113" t="s">
        <v>454</v>
      </c>
      <c r="B20" s="114" t="s">
        <v>623</v>
      </c>
      <c r="C20" s="115" t="s">
        <v>51</v>
      </c>
      <c r="D20" s="115" t="s">
        <v>586</v>
      </c>
      <c r="E20" s="116" t="s">
        <v>63</v>
      </c>
      <c r="F20" s="117">
        <v>1</v>
      </c>
      <c r="G20" s="118">
        <f>SUM(H21:H23)</f>
        <v>112.64</v>
      </c>
      <c r="H20" s="119">
        <f>G20</f>
        <v>112.64</v>
      </c>
      <c r="I20" s="194" t="s">
        <v>598</v>
      </c>
      <c r="K20" s="214">
        <f t="shared" si="0"/>
        <v>112.64</v>
      </c>
    </row>
    <row r="21" spans="1:11" ht="27.6" x14ac:dyDescent="0.3">
      <c r="A21" s="200" t="s">
        <v>455</v>
      </c>
      <c r="B21" s="196" t="s">
        <v>501</v>
      </c>
      <c r="C21" s="195" t="s">
        <v>54</v>
      </c>
      <c r="D21" s="195" t="s">
        <v>502</v>
      </c>
      <c r="E21" s="197" t="s">
        <v>457</v>
      </c>
      <c r="F21" s="198">
        <v>0.307</v>
      </c>
      <c r="G21" s="199">
        <v>23.47</v>
      </c>
      <c r="H21" s="201">
        <f>G21*F21</f>
        <v>7.21</v>
      </c>
      <c r="I21" s="194" t="s">
        <v>598</v>
      </c>
      <c r="K21" s="214">
        <f t="shared" si="0"/>
        <v>7.21</v>
      </c>
    </row>
    <row r="22" spans="1:11" ht="27.6" x14ac:dyDescent="0.3">
      <c r="A22" s="200" t="s">
        <v>455</v>
      </c>
      <c r="B22" s="196" t="s">
        <v>503</v>
      </c>
      <c r="C22" s="195" t="s">
        <v>54</v>
      </c>
      <c r="D22" s="195" t="s">
        <v>460</v>
      </c>
      <c r="E22" s="197" t="s">
        <v>457</v>
      </c>
      <c r="F22" s="198">
        <v>0.42599999999999999</v>
      </c>
      <c r="G22" s="199">
        <v>19.940000000000001</v>
      </c>
      <c r="H22" s="201">
        <f t="shared" ref="H22:H23" si="1">G22*F22</f>
        <v>8.49</v>
      </c>
      <c r="I22" s="194" t="s">
        <v>598</v>
      </c>
      <c r="K22" s="214">
        <f t="shared" si="0"/>
        <v>8.49</v>
      </c>
    </row>
    <row r="23" spans="1:11" ht="27.6" x14ac:dyDescent="0.3">
      <c r="A23" s="200" t="s">
        <v>459</v>
      </c>
      <c r="B23" s="196" t="s">
        <v>594</v>
      </c>
      <c r="C23" s="195" t="s">
        <v>54</v>
      </c>
      <c r="D23" s="195" t="s">
        <v>585</v>
      </c>
      <c r="E23" s="197" t="s">
        <v>63</v>
      </c>
      <c r="F23" s="198">
        <v>1</v>
      </c>
      <c r="G23" s="199">
        <v>96.94</v>
      </c>
      <c r="H23" s="201">
        <f t="shared" si="1"/>
        <v>96.94</v>
      </c>
      <c r="I23" s="194" t="s">
        <v>598</v>
      </c>
      <c r="K23" s="214">
        <f t="shared" si="0"/>
        <v>96.94</v>
      </c>
    </row>
    <row r="24" spans="1:11" ht="14.4" thickBot="1" x14ac:dyDescent="0.35">
      <c r="A24" s="120"/>
      <c r="B24" s="186"/>
      <c r="C24" s="186"/>
      <c r="D24" s="186"/>
      <c r="E24" s="186"/>
      <c r="F24" s="403"/>
      <c r="G24" s="403"/>
      <c r="H24" s="121"/>
      <c r="K24" s="214">
        <f t="shared" si="0"/>
        <v>0</v>
      </c>
    </row>
    <row r="25" spans="1:11" ht="14.4" thickTop="1" x14ac:dyDescent="0.3">
      <c r="A25" s="110"/>
      <c r="B25" s="111"/>
      <c r="C25" s="111"/>
      <c r="D25" s="111"/>
      <c r="E25" s="111"/>
      <c r="F25" s="111"/>
      <c r="G25" s="111"/>
      <c r="H25" s="112"/>
      <c r="K25" s="214">
        <f t="shared" si="0"/>
        <v>0</v>
      </c>
    </row>
    <row r="26" spans="1:11" x14ac:dyDescent="0.3">
      <c r="A26" s="183" t="s">
        <v>500</v>
      </c>
      <c r="B26" s="181" t="s">
        <v>47</v>
      </c>
      <c r="C26" s="180" t="s">
        <v>48</v>
      </c>
      <c r="D26" s="180" t="s">
        <v>49</v>
      </c>
      <c r="E26" s="182" t="s">
        <v>452</v>
      </c>
      <c r="F26" s="181" t="s">
        <v>42</v>
      </c>
      <c r="G26" s="181" t="s">
        <v>453</v>
      </c>
      <c r="H26" s="184" t="s">
        <v>44</v>
      </c>
      <c r="K26" s="214" t="str">
        <f t="shared" si="0"/>
        <v>Total</v>
      </c>
    </row>
    <row r="27" spans="1:11" x14ac:dyDescent="0.3">
      <c r="A27" s="113" t="s">
        <v>454</v>
      </c>
      <c r="B27" s="114" t="s">
        <v>624</v>
      </c>
      <c r="C27" s="115" t="s">
        <v>51</v>
      </c>
      <c r="D27" s="115" t="s">
        <v>483</v>
      </c>
      <c r="E27" s="116" t="s">
        <v>63</v>
      </c>
      <c r="F27" s="117">
        <v>1</v>
      </c>
      <c r="G27" s="118">
        <f>SUM(H28:H30)</f>
        <v>161.44</v>
      </c>
      <c r="H27" s="119">
        <f>G27</f>
        <v>161.44</v>
      </c>
      <c r="I27" s="194" t="s">
        <v>598</v>
      </c>
      <c r="K27" s="214">
        <f t="shared" si="0"/>
        <v>161.44</v>
      </c>
    </row>
    <row r="28" spans="1:11" ht="27.6" x14ac:dyDescent="0.3">
      <c r="A28" s="200" t="s">
        <v>455</v>
      </c>
      <c r="B28" s="196" t="s">
        <v>501</v>
      </c>
      <c r="C28" s="195" t="s">
        <v>54</v>
      </c>
      <c r="D28" s="195" t="s">
        <v>502</v>
      </c>
      <c r="E28" s="197" t="s">
        <v>457</v>
      </c>
      <c r="F28" s="198">
        <v>2.8370000000000002</v>
      </c>
      <c r="G28" s="199">
        <v>23.47</v>
      </c>
      <c r="H28" s="201">
        <f t="shared" ref="H28:H30" si="2">G28*F28</f>
        <v>66.58</v>
      </c>
      <c r="I28" s="194" t="s">
        <v>598</v>
      </c>
      <c r="K28" s="214">
        <f t="shared" si="0"/>
        <v>66.58</v>
      </c>
    </row>
    <row r="29" spans="1:11" ht="27.6" x14ac:dyDescent="0.3">
      <c r="A29" s="200" t="s">
        <v>455</v>
      </c>
      <c r="B29" s="196" t="s">
        <v>505</v>
      </c>
      <c r="C29" s="195" t="s">
        <v>54</v>
      </c>
      <c r="D29" s="195" t="s">
        <v>506</v>
      </c>
      <c r="E29" s="197" t="s">
        <v>457</v>
      </c>
      <c r="F29" s="198">
        <v>3.327</v>
      </c>
      <c r="G29" s="199">
        <v>20.27</v>
      </c>
      <c r="H29" s="201">
        <f t="shared" si="2"/>
        <v>67.44</v>
      </c>
      <c r="I29" s="194" t="s">
        <v>598</v>
      </c>
      <c r="K29" s="214">
        <f t="shared" si="0"/>
        <v>67.44</v>
      </c>
    </row>
    <row r="30" spans="1:11" x14ac:dyDescent="0.3">
      <c r="A30" s="200" t="s">
        <v>459</v>
      </c>
      <c r="B30" s="196" t="s">
        <v>507</v>
      </c>
      <c r="C30" s="195" t="s">
        <v>54</v>
      </c>
      <c r="D30" s="195" t="s">
        <v>483</v>
      </c>
      <c r="E30" s="197" t="s">
        <v>63</v>
      </c>
      <c r="F30" s="198">
        <v>1</v>
      </c>
      <c r="G30" s="199">
        <v>27.42</v>
      </c>
      <c r="H30" s="201">
        <f t="shared" si="2"/>
        <v>27.42</v>
      </c>
      <c r="I30" s="194" t="s">
        <v>598</v>
      </c>
      <c r="K30" s="214">
        <f t="shared" si="0"/>
        <v>27.42</v>
      </c>
    </row>
    <row r="31" spans="1:11" ht="14.4" thickBot="1" x14ac:dyDescent="0.35">
      <c r="A31" s="120"/>
      <c r="B31" s="186"/>
      <c r="C31" s="186"/>
      <c r="D31" s="186"/>
      <c r="E31" s="186"/>
      <c r="F31" s="403"/>
      <c r="G31" s="403"/>
      <c r="H31" s="121"/>
      <c r="K31" s="214">
        <f t="shared" si="0"/>
        <v>0</v>
      </c>
    </row>
    <row r="32" spans="1:11" ht="14.4" thickTop="1" x14ac:dyDescent="0.3">
      <c r="A32" s="110"/>
      <c r="B32" s="111"/>
      <c r="C32" s="111"/>
      <c r="D32" s="111"/>
      <c r="E32" s="111"/>
      <c r="F32" s="111"/>
      <c r="G32" s="111"/>
      <c r="H32" s="112"/>
      <c r="K32" s="214">
        <f t="shared" si="0"/>
        <v>0</v>
      </c>
    </row>
    <row r="33" spans="1:11" x14ac:dyDescent="0.3">
      <c r="A33" s="183" t="s">
        <v>504</v>
      </c>
      <c r="B33" s="181" t="s">
        <v>47</v>
      </c>
      <c r="C33" s="180" t="s">
        <v>48</v>
      </c>
      <c r="D33" s="180" t="s">
        <v>49</v>
      </c>
      <c r="E33" s="182" t="s">
        <v>452</v>
      </c>
      <c r="F33" s="181" t="s">
        <v>42</v>
      </c>
      <c r="G33" s="181" t="s">
        <v>453</v>
      </c>
      <c r="H33" s="184" t="s">
        <v>44</v>
      </c>
      <c r="K33" s="214" t="str">
        <f t="shared" si="0"/>
        <v>Total</v>
      </c>
    </row>
    <row r="34" spans="1:11" x14ac:dyDescent="0.3">
      <c r="A34" s="113" t="s">
        <v>454</v>
      </c>
      <c r="B34" s="114" t="s">
        <v>625</v>
      </c>
      <c r="C34" s="115" t="s">
        <v>51</v>
      </c>
      <c r="D34" s="115" t="s">
        <v>491</v>
      </c>
      <c r="E34" s="116" t="s">
        <v>63</v>
      </c>
      <c r="F34" s="117">
        <v>1</v>
      </c>
      <c r="G34" s="118">
        <f>SUM(H35:H40)</f>
        <v>214.63</v>
      </c>
      <c r="H34" s="119">
        <f>G34</f>
        <v>214.63</v>
      </c>
      <c r="I34" s="194" t="s">
        <v>598</v>
      </c>
      <c r="K34" s="214">
        <f t="shared" si="0"/>
        <v>214.63</v>
      </c>
    </row>
    <row r="35" spans="1:11" ht="27.6" x14ac:dyDescent="0.3">
      <c r="A35" s="200" t="s">
        <v>455</v>
      </c>
      <c r="B35" s="196" t="s">
        <v>503</v>
      </c>
      <c r="C35" s="195" t="s">
        <v>54</v>
      </c>
      <c r="D35" s="195" t="s">
        <v>460</v>
      </c>
      <c r="E35" s="197" t="s">
        <v>457</v>
      </c>
      <c r="F35" s="198">
        <v>3.5640000000000001</v>
      </c>
      <c r="G35" s="199">
        <v>19.940000000000001</v>
      </c>
      <c r="H35" s="201">
        <f t="shared" ref="H35:H39" si="3">G35*F35</f>
        <v>71.069999999999993</v>
      </c>
      <c r="I35" s="194" t="s">
        <v>598</v>
      </c>
      <c r="K35" s="214">
        <f t="shared" si="0"/>
        <v>71.069999999999993</v>
      </c>
    </row>
    <row r="36" spans="1:11" ht="27.6" x14ac:dyDescent="0.3">
      <c r="A36" s="200" t="s">
        <v>459</v>
      </c>
      <c r="B36" s="196" t="s">
        <v>508</v>
      </c>
      <c r="C36" s="195" t="s">
        <v>54</v>
      </c>
      <c r="D36" s="195" t="s">
        <v>509</v>
      </c>
      <c r="E36" s="197" t="s">
        <v>63</v>
      </c>
      <c r="F36" s="198">
        <v>4.8499999999999996</v>
      </c>
      <c r="G36" s="199">
        <v>20.62</v>
      </c>
      <c r="H36" s="201">
        <f t="shared" si="3"/>
        <v>100.01</v>
      </c>
      <c r="I36" s="194" t="s">
        <v>598</v>
      </c>
      <c r="K36" s="214">
        <f t="shared" si="0"/>
        <v>100.01</v>
      </c>
    </row>
    <row r="37" spans="1:11" x14ac:dyDescent="0.3">
      <c r="A37" s="200" t="s">
        <v>459</v>
      </c>
      <c r="B37" s="196" t="s">
        <v>510</v>
      </c>
      <c r="C37" s="195" t="s">
        <v>54</v>
      </c>
      <c r="D37" s="195" t="s">
        <v>511</v>
      </c>
      <c r="E37" s="197" t="s">
        <v>63</v>
      </c>
      <c r="F37" s="198">
        <v>2.7</v>
      </c>
      <c r="G37" s="199">
        <v>10.35</v>
      </c>
      <c r="H37" s="201">
        <f t="shared" si="3"/>
        <v>27.95</v>
      </c>
      <c r="I37" s="194" t="s">
        <v>598</v>
      </c>
      <c r="K37" s="214">
        <f t="shared" si="0"/>
        <v>27.95</v>
      </c>
    </row>
    <row r="38" spans="1:11" x14ac:dyDescent="0.3">
      <c r="A38" s="200" t="s">
        <v>459</v>
      </c>
      <c r="B38" s="196" t="s">
        <v>512</v>
      </c>
      <c r="C38" s="195" t="s">
        <v>54</v>
      </c>
      <c r="D38" s="195" t="s">
        <v>513</v>
      </c>
      <c r="E38" s="197" t="s">
        <v>514</v>
      </c>
      <c r="F38" s="198">
        <v>0.16</v>
      </c>
      <c r="G38" s="199">
        <v>18.72</v>
      </c>
      <c r="H38" s="201">
        <f t="shared" si="3"/>
        <v>3</v>
      </c>
      <c r="I38" s="194" t="s">
        <v>598</v>
      </c>
      <c r="K38" s="214">
        <f t="shared" si="0"/>
        <v>3</v>
      </c>
    </row>
    <row r="39" spans="1:11" x14ac:dyDescent="0.3">
      <c r="A39" s="200" t="s">
        <v>459</v>
      </c>
      <c r="B39" s="196" t="s">
        <v>515</v>
      </c>
      <c r="C39" s="195" t="s">
        <v>54</v>
      </c>
      <c r="D39" s="195" t="s">
        <v>516</v>
      </c>
      <c r="E39" s="197" t="s">
        <v>63</v>
      </c>
      <c r="F39" s="198">
        <v>2.4</v>
      </c>
      <c r="G39" s="199">
        <v>5.25</v>
      </c>
      <c r="H39" s="201">
        <f t="shared" si="3"/>
        <v>12.6</v>
      </c>
      <c r="I39" s="194" t="s">
        <v>598</v>
      </c>
      <c r="K39" s="214">
        <f t="shared" si="0"/>
        <v>12.6</v>
      </c>
    </row>
    <row r="40" spans="1:11" ht="14.4" thickBot="1" x14ac:dyDescent="0.35">
      <c r="A40" s="120"/>
      <c r="B40" s="186"/>
      <c r="C40" s="186"/>
      <c r="D40" s="186"/>
      <c r="E40" s="186"/>
      <c r="F40" s="403"/>
      <c r="G40" s="403"/>
      <c r="H40" s="121"/>
      <c r="K40" s="214">
        <f t="shared" si="0"/>
        <v>0</v>
      </c>
    </row>
    <row r="41" spans="1:11" ht="14.4" thickTop="1" x14ac:dyDescent="0.3">
      <c r="A41" s="110"/>
      <c r="B41" s="111"/>
      <c r="C41" s="111"/>
      <c r="D41" s="111"/>
      <c r="E41" s="111"/>
      <c r="F41" s="111"/>
      <c r="G41" s="111"/>
      <c r="H41" s="112"/>
      <c r="K41" s="214">
        <f t="shared" si="0"/>
        <v>0</v>
      </c>
    </row>
    <row r="42" spans="1:11" x14ac:dyDescent="0.3">
      <c r="A42" s="183" t="s">
        <v>517</v>
      </c>
      <c r="B42" s="181" t="s">
        <v>47</v>
      </c>
      <c r="C42" s="180" t="s">
        <v>48</v>
      </c>
      <c r="D42" s="180" t="s">
        <v>49</v>
      </c>
      <c r="E42" s="182" t="s">
        <v>452</v>
      </c>
      <c r="F42" s="181" t="s">
        <v>42</v>
      </c>
      <c r="G42" s="181" t="s">
        <v>453</v>
      </c>
      <c r="H42" s="184" t="s">
        <v>44</v>
      </c>
      <c r="K42" s="214" t="str">
        <f t="shared" si="0"/>
        <v>Total</v>
      </c>
    </row>
    <row r="43" spans="1:11" ht="41.4" x14ac:dyDescent="0.3">
      <c r="A43" s="113" t="s">
        <v>454</v>
      </c>
      <c r="B43" s="114" t="s">
        <v>626</v>
      </c>
      <c r="C43" s="115" t="s">
        <v>51</v>
      </c>
      <c r="D43" s="115" t="s">
        <v>69</v>
      </c>
      <c r="E43" s="116" t="s">
        <v>41</v>
      </c>
      <c r="F43" s="117">
        <v>1</v>
      </c>
      <c r="G43" s="118">
        <f>SUM(H44:H50)</f>
        <v>428.46</v>
      </c>
      <c r="H43" s="119">
        <f>G43</f>
        <v>428.46</v>
      </c>
      <c r="I43" s="194" t="s">
        <v>598</v>
      </c>
      <c r="K43" s="214">
        <f t="shared" si="0"/>
        <v>428.46</v>
      </c>
    </row>
    <row r="44" spans="1:11" ht="27.6" x14ac:dyDescent="0.3">
      <c r="A44" s="200" t="s">
        <v>455</v>
      </c>
      <c r="B44" s="196" t="s">
        <v>518</v>
      </c>
      <c r="C44" s="195" t="s">
        <v>54</v>
      </c>
      <c r="D44" s="195" t="s">
        <v>519</v>
      </c>
      <c r="E44" s="197" t="s">
        <v>457</v>
      </c>
      <c r="F44" s="198">
        <v>1.9209000000000001</v>
      </c>
      <c r="G44" s="199">
        <v>25.37</v>
      </c>
      <c r="H44" s="201">
        <f t="shared" ref="H44:H50" si="4">G44*F44</f>
        <v>48.73</v>
      </c>
      <c r="I44" s="194" t="s">
        <v>598</v>
      </c>
      <c r="K44" s="214">
        <f t="shared" si="0"/>
        <v>48.73</v>
      </c>
    </row>
    <row r="45" spans="1:11" ht="27.6" x14ac:dyDescent="0.3">
      <c r="A45" s="200" t="s">
        <v>455</v>
      </c>
      <c r="B45" s="196" t="s">
        <v>503</v>
      </c>
      <c r="C45" s="195" t="s">
        <v>54</v>
      </c>
      <c r="D45" s="195" t="s">
        <v>460</v>
      </c>
      <c r="E45" s="197" t="s">
        <v>457</v>
      </c>
      <c r="F45" s="198">
        <v>0.98109999999999997</v>
      </c>
      <c r="G45" s="199">
        <v>19.940000000000001</v>
      </c>
      <c r="H45" s="201">
        <f t="shared" si="4"/>
        <v>19.559999999999999</v>
      </c>
      <c r="I45" s="194" t="s">
        <v>598</v>
      </c>
      <c r="K45" s="214">
        <f t="shared" si="0"/>
        <v>19.559999999999999</v>
      </c>
    </row>
    <row r="46" spans="1:11" ht="27.6" x14ac:dyDescent="0.3">
      <c r="A46" s="200" t="s">
        <v>459</v>
      </c>
      <c r="B46" s="196" t="s">
        <v>520</v>
      </c>
      <c r="C46" s="195" t="s">
        <v>54</v>
      </c>
      <c r="D46" s="195" t="s">
        <v>521</v>
      </c>
      <c r="E46" s="197" t="s">
        <v>41</v>
      </c>
      <c r="F46" s="198">
        <v>1</v>
      </c>
      <c r="G46" s="199">
        <v>303.02</v>
      </c>
      <c r="H46" s="201">
        <f t="shared" si="4"/>
        <v>303.02</v>
      </c>
      <c r="I46" s="194" t="s">
        <v>598</v>
      </c>
      <c r="K46" s="214">
        <f t="shared" si="0"/>
        <v>303.02</v>
      </c>
    </row>
    <row r="47" spans="1:11" x14ac:dyDescent="0.3">
      <c r="A47" s="200" t="s">
        <v>459</v>
      </c>
      <c r="B47" s="196" t="s">
        <v>522</v>
      </c>
      <c r="C47" s="195" t="s">
        <v>54</v>
      </c>
      <c r="D47" s="195" t="s">
        <v>523</v>
      </c>
      <c r="E47" s="197" t="s">
        <v>514</v>
      </c>
      <c r="F47" s="198">
        <v>0.38440000000000002</v>
      </c>
      <c r="G47" s="199">
        <v>38.25</v>
      </c>
      <c r="H47" s="201">
        <f t="shared" si="4"/>
        <v>14.7</v>
      </c>
      <c r="I47" s="194" t="s">
        <v>598</v>
      </c>
      <c r="K47" s="214">
        <f t="shared" si="0"/>
        <v>14.7</v>
      </c>
    </row>
    <row r="48" spans="1:11" ht="27.6" x14ac:dyDescent="0.3">
      <c r="A48" s="200" t="s">
        <v>459</v>
      </c>
      <c r="B48" s="196" t="s">
        <v>524</v>
      </c>
      <c r="C48" s="195" t="s">
        <v>54</v>
      </c>
      <c r="D48" s="195" t="s">
        <v>525</v>
      </c>
      <c r="E48" s="197" t="s">
        <v>41</v>
      </c>
      <c r="F48" s="198">
        <v>6</v>
      </c>
      <c r="G48" s="199">
        <v>1.1599999999999999</v>
      </c>
      <c r="H48" s="201">
        <f t="shared" si="4"/>
        <v>6.96</v>
      </c>
      <c r="I48" s="194" t="s">
        <v>598</v>
      </c>
      <c r="K48" s="214">
        <f t="shared" si="0"/>
        <v>6.96</v>
      </c>
    </row>
    <row r="49" spans="1:11" x14ac:dyDescent="0.3">
      <c r="A49" s="200" t="s">
        <v>459</v>
      </c>
      <c r="B49" s="196" t="s">
        <v>526</v>
      </c>
      <c r="C49" s="195" t="s">
        <v>54</v>
      </c>
      <c r="D49" s="195" t="s">
        <v>527</v>
      </c>
      <c r="E49" s="197" t="s">
        <v>514</v>
      </c>
      <c r="F49" s="198">
        <v>1.54E-2</v>
      </c>
      <c r="G49" s="199">
        <v>115.01</v>
      </c>
      <c r="H49" s="201">
        <f t="shared" si="4"/>
        <v>1.77</v>
      </c>
      <c r="I49" s="194" t="s">
        <v>598</v>
      </c>
      <c r="K49" s="214">
        <f t="shared" si="0"/>
        <v>1.77</v>
      </c>
    </row>
    <row r="50" spans="1:11" ht="27.6" x14ac:dyDescent="0.3">
      <c r="A50" s="200" t="s">
        <v>459</v>
      </c>
      <c r="B50" s="196" t="s">
        <v>528</v>
      </c>
      <c r="C50" s="195" t="s">
        <v>54</v>
      </c>
      <c r="D50" s="195" t="s">
        <v>529</v>
      </c>
      <c r="E50" s="197" t="s">
        <v>41</v>
      </c>
      <c r="F50" s="198">
        <v>2</v>
      </c>
      <c r="G50" s="199">
        <v>16.86</v>
      </c>
      <c r="H50" s="201">
        <f t="shared" si="4"/>
        <v>33.72</v>
      </c>
      <c r="I50" s="194" t="s">
        <v>598</v>
      </c>
      <c r="K50" s="214">
        <f t="shared" si="0"/>
        <v>33.72</v>
      </c>
    </row>
    <row r="51" spans="1:11" ht="14.4" thickBot="1" x14ac:dyDescent="0.35">
      <c r="A51" s="120"/>
      <c r="B51" s="186"/>
      <c r="C51" s="186"/>
      <c r="D51" s="186"/>
      <c r="E51" s="186"/>
      <c r="F51" s="403"/>
      <c r="G51" s="403"/>
      <c r="H51" s="121"/>
      <c r="K51" s="214">
        <f t="shared" si="0"/>
        <v>0</v>
      </c>
    </row>
    <row r="52" spans="1:11" ht="14.4" thickTop="1" x14ac:dyDescent="0.3">
      <c r="A52" s="110"/>
      <c r="B52" s="111"/>
      <c r="C52" s="111"/>
      <c r="D52" s="111"/>
      <c r="E52" s="111"/>
      <c r="F52" s="111"/>
      <c r="G52" s="111"/>
      <c r="H52" s="112"/>
      <c r="K52" s="214">
        <f t="shared" si="0"/>
        <v>0</v>
      </c>
    </row>
    <row r="53" spans="1:11" x14ac:dyDescent="0.3">
      <c r="A53" s="183" t="s">
        <v>530</v>
      </c>
      <c r="B53" s="181" t="s">
        <v>47</v>
      </c>
      <c r="C53" s="180" t="s">
        <v>48</v>
      </c>
      <c r="D53" s="180" t="s">
        <v>49</v>
      </c>
      <c r="E53" s="182" t="s">
        <v>452</v>
      </c>
      <c r="F53" s="181" t="s">
        <v>42</v>
      </c>
      <c r="G53" s="181" t="s">
        <v>453</v>
      </c>
      <c r="H53" s="184" t="s">
        <v>44</v>
      </c>
      <c r="K53" s="214" t="str">
        <f t="shared" si="0"/>
        <v>Total</v>
      </c>
    </row>
    <row r="54" spans="1:11" x14ac:dyDescent="0.3">
      <c r="A54" s="113" t="s">
        <v>454</v>
      </c>
      <c r="B54" s="114" t="s">
        <v>627</v>
      </c>
      <c r="C54" s="115" t="s">
        <v>51</v>
      </c>
      <c r="D54" s="115" t="s">
        <v>70</v>
      </c>
      <c r="E54" s="116" t="s">
        <v>41</v>
      </c>
      <c r="F54" s="117">
        <v>1</v>
      </c>
      <c r="G54" s="118">
        <f>SUM(H55:H68)</f>
        <v>1809.67</v>
      </c>
      <c r="H54" s="119">
        <f>G54</f>
        <v>1809.67</v>
      </c>
      <c r="I54" s="194" t="s">
        <v>598</v>
      </c>
      <c r="K54" s="214">
        <f t="shared" si="0"/>
        <v>1809.67</v>
      </c>
    </row>
    <row r="55" spans="1:11" ht="27.6" x14ac:dyDescent="0.3">
      <c r="A55" s="200" t="s">
        <v>455</v>
      </c>
      <c r="B55" s="196" t="s">
        <v>531</v>
      </c>
      <c r="C55" s="195" t="s">
        <v>54</v>
      </c>
      <c r="D55" s="195" t="s">
        <v>466</v>
      </c>
      <c r="E55" s="197" t="s">
        <v>457</v>
      </c>
      <c r="F55" s="198">
        <v>7.7</v>
      </c>
      <c r="G55" s="199">
        <v>19.77</v>
      </c>
      <c r="H55" s="201">
        <f t="shared" ref="H55:H68" si="5">G55*F55</f>
        <v>152.22999999999999</v>
      </c>
      <c r="I55" s="194" t="s">
        <v>598</v>
      </c>
      <c r="J55" s="194" t="s">
        <v>598</v>
      </c>
      <c r="K55" s="214">
        <f t="shared" si="0"/>
        <v>152.22999999999999</v>
      </c>
    </row>
    <row r="56" spans="1:11" ht="27.6" x14ac:dyDescent="0.3">
      <c r="A56" s="200" t="s">
        <v>455</v>
      </c>
      <c r="B56" s="196" t="s">
        <v>532</v>
      </c>
      <c r="C56" s="195" t="s">
        <v>54</v>
      </c>
      <c r="D56" s="195" t="s">
        <v>467</v>
      </c>
      <c r="E56" s="197" t="s">
        <v>457</v>
      </c>
      <c r="F56" s="198">
        <v>7.7</v>
      </c>
      <c r="G56" s="199">
        <v>23.97</v>
      </c>
      <c r="H56" s="201">
        <f t="shared" si="5"/>
        <v>184.57</v>
      </c>
      <c r="I56" s="194" t="s">
        <v>598</v>
      </c>
      <c r="J56" s="194" t="s">
        <v>598</v>
      </c>
      <c r="K56" s="214">
        <f t="shared" si="0"/>
        <v>184.57</v>
      </c>
    </row>
    <row r="57" spans="1:11" ht="27.6" x14ac:dyDescent="0.3">
      <c r="A57" s="200" t="s">
        <v>459</v>
      </c>
      <c r="B57" s="196" t="s">
        <v>533</v>
      </c>
      <c r="C57" s="195" t="s">
        <v>54</v>
      </c>
      <c r="D57" s="195" t="s">
        <v>534</v>
      </c>
      <c r="E57" s="197" t="s">
        <v>41</v>
      </c>
      <c r="F57" s="198">
        <v>1</v>
      </c>
      <c r="G57" s="199">
        <v>16.91</v>
      </c>
      <c r="H57" s="201">
        <f t="shared" si="5"/>
        <v>16.91</v>
      </c>
      <c r="I57" s="194" t="s">
        <v>598</v>
      </c>
      <c r="J57" s="194" t="s">
        <v>598</v>
      </c>
      <c r="K57" s="214">
        <f t="shared" si="0"/>
        <v>16.91</v>
      </c>
    </row>
    <row r="58" spans="1:11" ht="27.6" x14ac:dyDescent="0.3">
      <c r="A58" s="200" t="s">
        <v>459</v>
      </c>
      <c r="B58" s="196" t="s">
        <v>611</v>
      </c>
      <c r="C58" s="195" t="s">
        <v>54</v>
      </c>
      <c r="D58" s="195" t="s">
        <v>612</v>
      </c>
      <c r="E58" s="197" t="s">
        <v>41</v>
      </c>
      <c r="F58" s="198">
        <v>2</v>
      </c>
      <c r="G58" s="199">
        <v>19.28</v>
      </c>
      <c r="H58" s="201">
        <f t="shared" si="5"/>
        <v>38.56</v>
      </c>
      <c r="K58" s="214">
        <f t="shared" si="0"/>
        <v>38.56</v>
      </c>
    </row>
    <row r="59" spans="1:11" ht="27.6" x14ac:dyDescent="0.3">
      <c r="A59" s="200" t="s">
        <v>459</v>
      </c>
      <c r="B59" s="196" t="s">
        <v>613</v>
      </c>
      <c r="C59" s="195" t="s">
        <v>54</v>
      </c>
      <c r="D59" s="195" t="s">
        <v>614</v>
      </c>
      <c r="E59" s="197" t="s">
        <v>41</v>
      </c>
      <c r="F59" s="198">
        <v>1</v>
      </c>
      <c r="G59" s="199">
        <v>12.81</v>
      </c>
      <c r="H59" s="201">
        <f t="shared" si="5"/>
        <v>12.81</v>
      </c>
      <c r="K59" s="214">
        <f t="shared" si="0"/>
        <v>12.81</v>
      </c>
    </row>
    <row r="60" spans="1:11" x14ac:dyDescent="0.3">
      <c r="A60" s="200" t="s">
        <v>459</v>
      </c>
      <c r="B60" s="196" t="s">
        <v>535</v>
      </c>
      <c r="C60" s="195" t="s">
        <v>54</v>
      </c>
      <c r="D60" s="195" t="s">
        <v>536</v>
      </c>
      <c r="E60" s="197" t="s">
        <v>41</v>
      </c>
      <c r="F60" s="198">
        <v>0.4</v>
      </c>
      <c r="G60" s="199">
        <v>8.6300000000000008</v>
      </c>
      <c r="H60" s="201">
        <f t="shared" si="5"/>
        <v>3.45</v>
      </c>
      <c r="I60" s="194" t="s">
        <v>598</v>
      </c>
      <c r="K60" s="214">
        <f t="shared" si="0"/>
        <v>3.45</v>
      </c>
    </row>
    <row r="61" spans="1:11" x14ac:dyDescent="0.3">
      <c r="A61" s="200" t="s">
        <v>459</v>
      </c>
      <c r="B61" s="196" t="s">
        <v>537</v>
      </c>
      <c r="C61" s="195" t="s">
        <v>54</v>
      </c>
      <c r="D61" s="195" t="s">
        <v>538</v>
      </c>
      <c r="E61" s="197" t="s">
        <v>41</v>
      </c>
      <c r="F61" s="198">
        <v>0.3</v>
      </c>
      <c r="G61" s="199">
        <v>3.25</v>
      </c>
      <c r="H61" s="201">
        <f t="shared" si="5"/>
        <v>0.98</v>
      </c>
      <c r="I61" s="194" t="s">
        <v>598</v>
      </c>
      <c r="K61" s="214">
        <f t="shared" si="0"/>
        <v>0.98</v>
      </c>
    </row>
    <row r="62" spans="1:11" x14ac:dyDescent="0.3">
      <c r="A62" s="200" t="s">
        <v>459</v>
      </c>
      <c r="B62" s="196" t="s">
        <v>539</v>
      </c>
      <c r="C62" s="195" t="s">
        <v>54</v>
      </c>
      <c r="D62" s="195" t="s">
        <v>540</v>
      </c>
      <c r="E62" s="197" t="s">
        <v>41</v>
      </c>
      <c r="F62" s="198">
        <v>1</v>
      </c>
      <c r="G62" s="199">
        <v>2.52</v>
      </c>
      <c r="H62" s="201">
        <f t="shared" si="5"/>
        <v>2.52</v>
      </c>
      <c r="I62" s="194" t="s">
        <v>598</v>
      </c>
      <c r="K62" s="214">
        <f t="shared" si="0"/>
        <v>2.52</v>
      </c>
    </row>
    <row r="63" spans="1:11" x14ac:dyDescent="0.3">
      <c r="A63" s="200" t="s">
        <v>459</v>
      </c>
      <c r="B63" s="196" t="s">
        <v>541</v>
      </c>
      <c r="C63" s="195" t="s">
        <v>54</v>
      </c>
      <c r="D63" s="195" t="s">
        <v>542</v>
      </c>
      <c r="E63" s="197" t="s">
        <v>41</v>
      </c>
      <c r="F63" s="198">
        <v>1</v>
      </c>
      <c r="G63" s="199">
        <v>3.92</v>
      </c>
      <c r="H63" s="201">
        <f t="shared" si="5"/>
        <v>3.92</v>
      </c>
      <c r="I63" s="194" t="s">
        <v>598</v>
      </c>
      <c r="K63" s="214">
        <f t="shared" si="0"/>
        <v>3.92</v>
      </c>
    </row>
    <row r="64" spans="1:11" x14ac:dyDescent="0.3">
      <c r="A64" s="200" t="s">
        <v>459</v>
      </c>
      <c r="B64" s="196" t="s">
        <v>543</v>
      </c>
      <c r="C64" s="195" t="s">
        <v>54</v>
      </c>
      <c r="D64" s="195" t="s">
        <v>544</v>
      </c>
      <c r="E64" s="197" t="s">
        <v>63</v>
      </c>
      <c r="F64" s="198">
        <v>1.5</v>
      </c>
      <c r="G64" s="199">
        <v>4.32</v>
      </c>
      <c r="H64" s="201">
        <f t="shared" si="5"/>
        <v>6.48</v>
      </c>
      <c r="I64" s="194" t="s">
        <v>598</v>
      </c>
      <c r="K64" s="214">
        <f t="shared" si="0"/>
        <v>6.48</v>
      </c>
    </row>
    <row r="65" spans="1:11" x14ac:dyDescent="0.3">
      <c r="A65" s="200" t="s">
        <v>459</v>
      </c>
      <c r="B65" s="196" t="s">
        <v>545</v>
      </c>
      <c r="C65" s="195" t="s">
        <v>54</v>
      </c>
      <c r="D65" s="195" t="s">
        <v>546</v>
      </c>
      <c r="E65" s="197" t="s">
        <v>63</v>
      </c>
      <c r="F65" s="198">
        <v>2</v>
      </c>
      <c r="G65" s="199">
        <v>9.32</v>
      </c>
      <c r="H65" s="201">
        <f t="shared" si="5"/>
        <v>18.64</v>
      </c>
      <c r="I65" s="194" t="s">
        <v>598</v>
      </c>
      <c r="K65" s="214">
        <f t="shared" si="0"/>
        <v>18.64</v>
      </c>
    </row>
    <row r="66" spans="1:11" ht="27.6" x14ac:dyDescent="0.3">
      <c r="A66" s="200" t="s">
        <v>459</v>
      </c>
      <c r="B66" s="196" t="s">
        <v>547</v>
      </c>
      <c r="C66" s="195" t="s">
        <v>54</v>
      </c>
      <c r="D66" s="195" t="s">
        <v>548</v>
      </c>
      <c r="E66" s="197" t="s">
        <v>41</v>
      </c>
      <c r="F66" s="198">
        <v>1</v>
      </c>
      <c r="G66" s="199">
        <v>26.51</v>
      </c>
      <c r="H66" s="201">
        <f t="shared" si="5"/>
        <v>26.51</v>
      </c>
      <c r="I66" s="194" t="s">
        <v>598</v>
      </c>
      <c r="K66" s="214">
        <f t="shared" si="0"/>
        <v>26.51</v>
      </c>
    </row>
    <row r="67" spans="1:11" ht="27.6" x14ac:dyDescent="0.3">
      <c r="A67" s="200" t="s">
        <v>459</v>
      </c>
      <c r="B67" s="196" t="s">
        <v>549</v>
      </c>
      <c r="C67" s="195" t="s">
        <v>54</v>
      </c>
      <c r="D67" s="195" t="s">
        <v>550</v>
      </c>
      <c r="E67" s="197" t="s">
        <v>41</v>
      </c>
      <c r="F67" s="198">
        <v>1</v>
      </c>
      <c r="G67" s="199">
        <v>28.24</v>
      </c>
      <c r="H67" s="201">
        <f t="shared" si="5"/>
        <v>28.24</v>
      </c>
      <c r="I67" s="194" t="s">
        <v>598</v>
      </c>
      <c r="K67" s="214">
        <f t="shared" si="0"/>
        <v>28.24</v>
      </c>
    </row>
    <row r="68" spans="1:11" x14ac:dyDescent="0.3">
      <c r="A68" s="200" t="s">
        <v>459</v>
      </c>
      <c r="B68" s="196" t="s">
        <v>551</v>
      </c>
      <c r="C68" s="195" t="s">
        <v>54</v>
      </c>
      <c r="D68" s="195" t="s">
        <v>552</v>
      </c>
      <c r="E68" s="197" t="s">
        <v>41</v>
      </c>
      <c r="F68" s="198">
        <v>1</v>
      </c>
      <c r="G68" s="199">
        <v>1313.85</v>
      </c>
      <c r="H68" s="201">
        <f t="shared" si="5"/>
        <v>1313.85</v>
      </c>
      <c r="I68" s="194" t="s">
        <v>598</v>
      </c>
      <c r="K68" s="214">
        <f t="shared" si="0"/>
        <v>1313.85</v>
      </c>
    </row>
    <row r="69" spans="1:11" ht="14.4" thickBot="1" x14ac:dyDescent="0.35">
      <c r="A69" s="120"/>
      <c r="B69" s="186"/>
      <c r="C69" s="186"/>
      <c r="D69" s="186"/>
      <c r="E69" s="186"/>
      <c r="F69" s="403"/>
      <c r="G69" s="403"/>
      <c r="H69" s="121"/>
      <c r="K69" s="214">
        <f t="shared" si="0"/>
        <v>0</v>
      </c>
    </row>
    <row r="70" spans="1:11" ht="14.4" thickTop="1" x14ac:dyDescent="0.3">
      <c r="A70" s="110"/>
      <c r="B70" s="111"/>
      <c r="C70" s="111"/>
      <c r="D70" s="111"/>
      <c r="E70" s="111"/>
      <c r="F70" s="111"/>
      <c r="G70" s="111"/>
      <c r="H70" s="112"/>
      <c r="K70" s="214">
        <f t="shared" si="0"/>
        <v>0</v>
      </c>
    </row>
    <row r="71" spans="1:11" x14ac:dyDescent="0.3">
      <c r="A71" s="183" t="s">
        <v>553</v>
      </c>
      <c r="B71" s="181" t="s">
        <v>47</v>
      </c>
      <c r="C71" s="180" t="s">
        <v>48</v>
      </c>
      <c r="D71" s="180" t="s">
        <v>49</v>
      </c>
      <c r="E71" s="182" t="s">
        <v>452</v>
      </c>
      <c r="F71" s="181" t="s">
        <v>42</v>
      </c>
      <c r="G71" s="181" t="s">
        <v>453</v>
      </c>
      <c r="H71" s="184" t="s">
        <v>44</v>
      </c>
      <c r="K71" s="214" t="str">
        <f t="shared" si="0"/>
        <v>Total</v>
      </c>
    </row>
    <row r="72" spans="1:11" ht="27.6" x14ac:dyDescent="0.3">
      <c r="A72" s="113" t="s">
        <v>454</v>
      </c>
      <c r="B72" s="114" t="s">
        <v>628</v>
      </c>
      <c r="C72" s="115" t="s">
        <v>51</v>
      </c>
      <c r="D72" s="115" t="s">
        <v>72</v>
      </c>
      <c r="E72" s="116" t="s">
        <v>41</v>
      </c>
      <c r="F72" s="117">
        <v>1</v>
      </c>
      <c r="G72" s="118">
        <f>SUM(H73:H78)</f>
        <v>7.42</v>
      </c>
      <c r="H72" s="119">
        <f>G72</f>
        <v>7.42</v>
      </c>
      <c r="I72" s="194" t="s">
        <v>598</v>
      </c>
      <c r="K72" s="214">
        <f t="shared" si="0"/>
        <v>7.42</v>
      </c>
    </row>
    <row r="73" spans="1:11" ht="27.6" x14ac:dyDescent="0.3">
      <c r="A73" s="200" t="s">
        <v>455</v>
      </c>
      <c r="B73" s="196" t="s">
        <v>531</v>
      </c>
      <c r="C73" s="195" t="s">
        <v>54</v>
      </c>
      <c r="D73" s="195" t="s">
        <v>466</v>
      </c>
      <c r="E73" s="197" t="s">
        <v>457</v>
      </c>
      <c r="F73" s="198">
        <v>0.11899999999999999</v>
      </c>
      <c r="G73" s="199">
        <v>19.77</v>
      </c>
      <c r="H73" s="201">
        <f t="shared" ref="H73:H78" si="6">G73*F73</f>
        <v>2.35</v>
      </c>
      <c r="I73" s="194" t="s">
        <v>598</v>
      </c>
      <c r="K73" s="214">
        <f>H73</f>
        <v>2.35</v>
      </c>
    </row>
    <row r="74" spans="1:11" ht="27.6" x14ac:dyDescent="0.3">
      <c r="A74" s="200" t="s">
        <v>455</v>
      </c>
      <c r="B74" s="196" t="s">
        <v>532</v>
      </c>
      <c r="C74" s="195" t="s">
        <v>54</v>
      </c>
      <c r="D74" s="195" t="s">
        <v>467</v>
      </c>
      <c r="E74" s="197" t="s">
        <v>457</v>
      </c>
      <c r="F74" s="198">
        <v>0.11899999999999999</v>
      </c>
      <c r="G74" s="199">
        <v>23.96</v>
      </c>
      <c r="H74" s="201">
        <f t="shared" si="6"/>
        <v>2.85</v>
      </c>
      <c r="I74" s="194" t="s">
        <v>598</v>
      </c>
      <c r="K74" s="214">
        <f t="shared" ref="K74:K137" si="7">H74</f>
        <v>2.85</v>
      </c>
    </row>
    <row r="75" spans="1:11" x14ac:dyDescent="0.3">
      <c r="A75" s="200" t="s">
        <v>459</v>
      </c>
      <c r="B75" s="196" t="s">
        <v>554</v>
      </c>
      <c r="C75" s="195" t="s">
        <v>54</v>
      </c>
      <c r="D75" s="195" t="s">
        <v>468</v>
      </c>
      <c r="E75" s="197" t="s">
        <v>41</v>
      </c>
      <c r="F75" s="198">
        <v>8.9999999999999993E-3</v>
      </c>
      <c r="G75" s="199">
        <v>66.400000000000006</v>
      </c>
      <c r="H75" s="201">
        <f t="shared" si="6"/>
        <v>0.6</v>
      </c>
      <c r="I75" s="194" t="s">
        <v>598</v>
      </c>
      <c r="K75" s="214">
        <f t="shared" si="7"/>
        <v>0.6</v>
      </c>
    </row>
    <row r="76" spans="1:11" ht="27.6" x14ac:dyDescent="0.3">
      <c r="A76" s="200" t="s">
        <v>459</v>
      </c>
      <c r="B76" s="196" t="s">
        <v>555</v>
      </c>
      <c r="C76" s="195" t="s">
        <v>54</v>
      </c>
      <c r="D76" s="195" t="s">
        <v>469</v>
      </c>
      <c r="E76" s="197" t="s">
        <v>41</v>
      </c>
      <c r="F76" s="198">
        <v>1.05</v>
      </c>
      <c r="G76" s="199">
        <v>0.62</v>
      </c>
      <c r="H76" s="201">
        <f t="shared" si="6"/>
        <v>0.65</v>
      </c>
      <c r="I76" s="194" t="s">
        <v>598</v>
      </c>
      <c r="K76" s="214">
        <f t="shared" si="7"/>
        <v>0.65</v>
      </c>
    </row>
    <row r="77" spans="1:11" x14ac:dyDescent="0.3">
      <c r="A77" s="200" t="s">
        <v>459</v>
      </c>
      <c r="B77" s="196" t="s">
        <v>556</v>
      </c>
      <c r="C77" s="195" t="s">
        <v>54</v>
      </c>
      <c r="D77" s="195" t="s">
        <v>470</v>
      </c>
      <c r="E77" s="197" t="s">
        <v>41</v>
      </c>
      <c r="F77" s="198">
        <v>1.0999999999999999E-2</v>
      </c>
      <c r="G77" s="199">
        <v>75.23</v>
      </c>
      <c r="H77" s="201">
        <f t="shared" si="6"/>
        <v>0.83</v>
      </c>
      <c r="I77" s="194" t="s">
        <v>598</v>
      </c>
      <c r="K77" s="214">
        <f t="shared" si="7"/>
        <v>0.83</v>
      </c>
    </row>
    <row r="78" spans="1:11" x14ac:dyDescent="0.3">
      <c r="A78" s="200" t="s">
        <v>459</v>
      </c>
      <c r="B78" s="196" t="s">
        <v>557</v>
      </c>
      <c r="C78" s="195" t="s">
        <v>54</v>
      </c>
      <c r="D78" s="195" t="s">
        <v>471</v>
      </c>
      <c r="E78" s="197" t="s">
        <v>41</v>
      </c>
      <c r="F78" s="198">
        <v>0.06</v>
      </c>
      <c r="G78" s="199">
        <v>2.2599999999999998</v>
      </c>
      <c r="H78" s="201">
        <f t="shared" si="6"/>
        <v>0.14000000000000001</v>
      </c>
      <c r="I78" s="194" t="s">
        <v>598</v>
      </c>
      <c r="K78" s="214">
        <f t="shared" si="7"/>
        <v>0.14000000000000001</v>
      </c>
    </row>
    <row r="79" spans="1:11" ht="14.4" thickBot="1" x14ac:dyDescent="0.35">
      <c r="A79" s="120"/>
      <c r="B79" s="186"/>
      <c r="C79" s="186"/>
      <c r="D79" s="186"/>
      <c r="E79" s="186"/>
      <c r="F79" s="403"/>
      <c r="G79" s="403"/>
      <c r="H79" s="121"/>
      <c r="K79" s="214">
        <f t="shared" si="7"/>
        <v>0</v>
      </c>
    </row>
    <row r="80" spans="1:11" ht="14.4" thickTop="1" x14ac:dyDescent="0.3">
      <c r="A80" s="110"/>
      <c r="B80" s="111"/>
      <c r="C80" s="111"/>
      <c r="D80" s="111"/>
      <c r="E80" s="111"/>
      <c r="F80" s="111"/>
      <c r="G80" s="111"/>
      <c r="H80" s="112"/>
      <c r="K80" s="214">
        <f t="shared" si="7"/>
        <v>0</v>
      </c>
    </row>
    <row r="81" spans="1:11" x14ac:dyDescent="0.3">
      <c r="A81" s="183" t="s">
        <v>558</v>
      </c>
      <c r="B81" s="181" t="s">
        <v>47</v>
      </c>
      <c r="C81" s="180" t="s">
        <v>48</v>
      </c>
      <c r="D81" s="180" t="s">
        <v>49</v>
      </c>
      <c r="E81" s="182" t="s">
        <v>452</v>
      </c>
      <c r="F81" s="181" t="s">
        <v>42</v>
      </c>
      <c r="G81" s="181" t="s">
        <v>453</v>
      </c>
      <c r="H81" s="184" t="s">
        <v>44</v>
      </c>
      <c r="K81" s="214" t="str">
        <f t="shared" si="7"/>
        <v>Total</v>
      </c>
    </row>
    <row r="82" spans="1:11" ht="27.6" x14ac:dyDescent="0.3">
      <c r="A82" s="113" t="s">
        <v>454</v>
      </c>
      <c r="B82" s="114" t="s">
        <v>629</v>
      </c>
      <c r="C82" s="115" t="s">
        <v>51</v>
      </c>
      <c r="D82" s="115" t="s">
        <v>73</v>
      </c>
      <c r="E82" s="116" t="s">
        <v>41</v>
      </c>
      <c r="F82" s="117">
        <v>1</v>
      </c>
      <c r="G82" s="118">
        <f>SUM(H83:H88)</f>
        <v>7.76</v>
      </c>
      <c r="H82" s="119">
        <f>G82</f>
        <v>7.76</v>
      </c>
      <c r="I82" s="194" t="s">
        <v>598</v>
      </c>
      <c r="K82" s="214">
        <f t="shared" si="7"/>
        <v>7.76</v>
      </c>
    </row>
    <row r="83" spans="1:11" ht="27.6" x14ac:dyDescent="0.3">
      <c r="A83" s="200" t="s">
        <v>455</v>
      </c>
      <c r="B83" s="196" t="s">
        <v>531</v>
      </c>
      <c r="C83" s="195" t="s">
        <v>54</v>
      </c>
      <c r="D83" s="195" t="s">
        <v>466</v>
      </c>
      <c r="E83" s="197" t="s">
        <v>457</v>
      </c>
      <c r="F83" s="198">
        <v>0.11899999999999999</v>
      </c>
      <c r="G83" s="199">
        <v>19.77</v>
      </c>
      <c r="H83" s="201">
        <f t="shared" ref="H83:H88" si="8">G83*F83</f>
        <v>2.35</v>
      </c>
      <c r="I83" s="194" t="s">
        <v>598</v>
      </c>
      <c r="K83" s="214">
        <f t="shared" si="7"/>
        <v>2.35</v>
      </c>
    </row>
    <row r="84" spans="1:11" ht="27.6" x14ac:dyDescent="0.3">
      <c r="A84" s="200" t="s">
        <v>455</v>
      </c>
      <c r="B84" s="196" t="s">
        <v>532</v>
      </c>
      <c r="C84" s="195" t="s">
        <v>54</v>
      </c>
      <c r="D84" s="195" t="s">
        <v>467</v>
      </c>
      <c r="E84" s="197" t="s">
        <v>457</v>
      </c>
      <c r="F84" s="198">
        <v>0.11899999999999999</v>
      </c>
      <c r="G84" s="199">
        <v>23.96</v>
      </c>
      <c r="H84" s="201">
        <f t="shared" si="8"/>
        <v>2.85</v>
      </c>
      <c r="I84" s="194" t="s">
        <v>598</v>
      </c>
      <c r="K84" s="214">
        <f t="shared" si="7"/>
        <v>2.85</v>
      </c>
    </row>
    <row r="85" spans="1:11" x14ac:dyDescent="0.3">
      <c r="A85" s="200" t="s">
        <v>459</v>
      </c>
      <c r="B85" s="196" t="s">
        <v>554</v>
      </c>
      <c r="C85" s="195" t="s">
        <v>54</v>
      </c>
      <c r="D85" s="195" t="s">
        <v>468</v>
      </c>
      <c r="E85" s="197" t="s">
        <v>41</v>
      </c>
      <c r="F85" s="198">
        <v>8.9999999999999993E-3</v>
      </c>
      <c r="G85" s="199">
        <v>66.400000000000006</v>
      </c>
      <c r="H85" s="201">
        <f t="shared" si="8"/>
        <v>0.6</v>
      </c>
      <c r="I85" s="194" t="s">
        <v>598</v>
      </c>
      <c r="K85" s="214">
        <f t="shared" si="7"/>
        <v>0.6</v>
      </c>
    </row>
    <row r="86" spans="1:11" ht="27.6" x14ac:dyDescent="0.3">
      <c r="A86" s="200" t="s">
        <v>459</v>
      </c>
      <c r="B86" s="196" t="s">
        <v>559</v>
      </c>
      <c r="C86" s="195" t="s">
        <v>54</v>
      </c>
      <c r="D86" s="195" t="s">
        <v>472</v>
      </c>
      <c r="E86" s="197" t="s">
        <v>41</v>
      </c>
      <c r="F86" s="198">
        <v>1</v>
      </c>
      <c r="G86" s="199">
        <v>0.99</v>
      </c>
      <c r="H86" s="201">
        <f t="shared" si="8"/>
        <v>0.99</v>
      </c>
      <c r="I86" s="194" t="s">
        <v>598</v>
      </c>
      <c r="K86" s="214">
        <f t="shared" si="7"/>
        <v>0.99</v>
      </c>
    </row>
    <row r="87" spans="1:11" x14ac:dyDescent="0.3">
      <c r="A87" s="200" t="s">
        <v>459</v>
      </c>
      <c r="B87" s="196" t="s">
        <v>556</v>
      </c>
      <c r="C87" s="195" t="s">
        <v>54</v>
      </c>
      <c r="D87" s="195" t="s">
        <v>470</v>
      </c>
      <c r="E87" s="197" t="s">
        <v>41</v>
      </c>
      <c r="F87" s="198">
        <v>1.0999999999999999E-2</v>
      </c>
      <c r="G87" s="199">
        <v>75.23</v>
      </c>
      <c r="H87" s="201">
        <f t="shared" si="8"/>
        <v>0.83</v>
      </c>
      <c r="I87" s="194" t="s">
        <v>598</v>
      </c>
      <c r="K87" s="214">
        <f t="shared" si="7"/>
        <v>0.83</v>
      </c>
    </row>
    <row r="88" spans="1:11" x14ac:dyDescent="0.3">
      <c r="A88" s="200" t="s">
        <v>459</v>
      </c>
      <c r="B88" s="196" t="s">
        <v>557</v>
      </c>
      <c r="C88" s="195" t="s">
        <v>54</v>
      </c>
      <c r="D88" s="195" t="s">
        <v>471</v>
      </c>
      <c r="E88" s="197" t="s">
        <v>41</v>
      </c>
      <c r="F88" s="198">
        <v>0.06</v>
      </c>
      <c r="G88" s="199">
        <v>2.2599999999999998</v>
      </c>
      <c r="H88" s="201">
        <f t="shared" si="8"/>
        <v>0.14000000000000001</v>
      </c>
      <c r="I88" s="194" t="s">
        <v>598</v>
      </c>
      <c r="K88" s="214">
        <f t="shared" si="7"/>
        <v>0.14000000000000001</v>
      </c>
    </row>
    <row r="89" spans="1:11" ht="14.4" thickBot="1" x14ac:dyDescent="0.35">
      <c r="A89" s="120"/>
      <c r="B89" s="186"/>
      <c r="C89" s="186"/>
      <c r="D89" s="186"/>
      <c r="E89" s="186"/>
      <c r="F89" s="403"/>
      <c r="G89" s="403"/>
      <c r="H89" s="121"/>
      <c r="K89" s="214">
        <f t="shared" si="7"/>
        <v>0</v>
      </c>
    </row>
    <row r="90" spans="1:11" ht="14.4" thickTop="1" x14ac:dyDescent="0.3">
      <c r="A90" s="110"/>
      <c r="B90" s="111"/>
      <c r="C90" s="111"/>
      <c r="D90" s="111"/>
      <c r="E90" s="111"/>
      <c r="F90" s="111"/>
      <c r="G90" s="111"/>
      <c r="H90" s="112"/>
      <c r="K90" s="214">
        <f t="shared" si="7"/>
        <v>0</v>
      </c>
    </row>
    <row r="91" spans="1:11" x14ac:dyDescent="0.3">
      <c r="A91" s="183" t="s">
        <v>560</v>
      </c>
      <c r="B91" s="181" t="s">
        <v>47</v>
      </c>
      <c r="C91" s="180" t="s">
        <v>48</v>
      </c>
      <c r="D91" s="180" t="s">
        <v>49</v>
      </c>
      <c r="E91" s="182" t="s">
        <v>452</v>
      </c>
      <c r="F91" s="181" t="s">
        <v>42</v>
      </c>
      <c r="G91" s="181" t="s">
        <v>453</v>
      </c>
      <c r="H91" s="184" t="s">
        <v>44</v>
      </c>
      <c r="K91" s="214" t="str">
        <f t="shared" si="7"/>
        <v>Total</v>
      </c>
    </row>
    <row r="92" spans="1:11" ht="27.6" x14ac:dyDescent="0.3">
      <c r="A92" s="113" t="s">
        <v>454</v>
      </c>
      <c r="B92" s="114" t="s">
        <v>630</v>
      </c>
      <c r="C92" s="115" t="s">
        <v>51</v>
      </c>
      <c r="D92" s="115" t="s">
        <v>82</v>
      </c>
      <c r="E92" s="116" t="s">
        <v>41</v>
      </c>
      <c r="F92" s="117">
        <v>1</v>
      </c>
      <c r="G92" s="118">
        <f>SUM(H93:H98)</f>
        <v>14.5</v>
      </c>
      <c r="H92" s="119">
        <f>G92</f>
        <v>14.5</v>
      </c>
      <c r="I92" s="194" t="s">
        <v>598</v>
      </c>
      <c r="K92" s="214">
        <f t="shared" si="7"/>
        <v>14.5</v>
      </c>
    </row>
    <row r="93" spans="1:11" ht="27.6" x14ac:dyDescent="0.3">
      <c r="A93" s="200" t="s">
        <v>455</v>
      </c>
      <c r="B93" s="196" t="s">
        <v>531</v>
      </c>
      <c r="C93" s="195" t="s">
        <v>54</v>
      </c>
      <c r="D93" s="195" t="s">
        <v>466</v>
      </c>
      <c r="E93" s="197" t="s">
        <v>457</v>
      </c>
      <c r="F93" s="198">
        <v>0.15</v>
      </c>
      <c r="G93" s="199">
        <v>19.77</v>
      </c>
      <c r="H93" s="201">
        <f t="shared" ref="H93:H98" si="9">G93*F93</f>
        <v>2.97</v>
      </c>
      <c r="I93" s="194" t="s">
        <v>598</v>
      </c>
      <c r="K93" s="214">
        <f t="shared" si="7"/>
        <v>2.97</v>
      </c>
    </row>
    <row r="94" spans="1:11" ht="27.6" x14ac:dyDescent="0.3">
      <c r="A94" s="200" t="s">
        <v>455</v>
      </c>
      <c r="B94" s="196" t="s">
        <v>532</v>
      </c>
      <c r="C94" s="195" t="s">
        <v>54</v>
      </c>
      <c r="D94" s="195" t="s">
        <v>467</v>
      </c>
      <c r="E94" s="197" t="s">
        <v>457</v>
      </c>
      <c r="F94" s="198">
        <v>0.15</v>
      </c>
      <c r="G94" s="199">
        <v>23.96</v>
      </c>
      <c r="H94" s="201">
        <f t="shared" si="9"/>
        <v>3.59</v>
      </c>
      <c r="I94" s="194" t="s">
        <v>598</v>
      </c>
      <c r="K94" s="214">
        <f t="shared" si="7"/>
        <v>3.59</v>
      </c>
    </row>
    <row r="95" spans="1:11" x14ac:dyDescent="0.3">
      <c r="A95" s="200" t="s">
        <v>459</v>
      </c>
      <c r="B95" s="196" t="s">
        <v>554</v>
      </c>
      <c r="C95" s="195" t="s">
        <v>54</v>
      </c>
      <c r="D95" s="195" t="s">
        <v>468</v>
      </c>
      <c r="E95" s="197" t="s">
        <v>41</v>
      </c>
      <c r="F95" s="198">
        <v>7.0000000000000001E-3</v>
      </c>
      <c r="G95" s="199">
        <v>66.400000000000006</v>
      </c>
      <c r="H95" s="201">
        <f t="shared" si="9"/>
        <v>0.46</v>
      </c>
      <c r="I95" s="194" t="s">
        <v>598</v>
      </c>
      <c r="K95" s="214">
        <f t="shared" si="7"/>
        <v>0.46</v>
      </c>
    </row>
    <row r="96" spans="1:11" x14ac:dyDescent="0.3">
      <c r="A96" s="200" t="s">
        <v>459</v>
      </c>
      <c r="B96" s="196" t="s">
        <v>556</v>
      </c>
      <c r="C96" s="195" t="s">
        <v>54</v>
      </c>
      <c r="D96" s="195" t="s">
        <v>470</v>
      </c>
      <c r="E96" s="197" t="s">
        <v>41</v>
      </c>
      <c r="F96" s="198">
        <v>8.0000000000000002E-3</v>
      </c>
      <c r="G96" s="199">
        <v>75.23</v>
      </c>
      <c r="H96" s="201">
        <f t="shared" si="9"/>
        <v>0.6</v>
      </c>
      <c r="I96" s="194" t="s">
        <v>598</v>
      </c>
      <c r="K96" s="214">
        <f t="shared" si="7"/>
        <v>0.6</v>
      </c>
    </row>
    <row r="97" spans="1:11" ht="27.6" x14ac:dyDescent="0.3">
      <c r="A97" s="200" t="s">
        <v>459</v>
      </c>
      <c r="B97" s="196" t="s">
        <v>561</v>
      </c>
      <c r="C97" s="195" t="s">
        <v>54</v>
      </c>
      <c r="D97" s="195" t="s">
        <v>473</v>
      </c>
      <c r="E97" s="197" t="s">
        <v>41</v>
      </c>
      <c r="F97" s="198">
        <v>1</v>
      </c>
      <c r="G97" s="199">
        <v>6.77</v>
      </c>
      <c r="H97" s="201">
        <f t="shared" si="9"/>
        <v>6.77</v>
      </c>
      <c r="I97" s="194" t="s">
        <v>598</v>
      </c>
      <c r="K97" s="214">
        <f t="shared" si="7"/>
        <v>6.77</v>
      </c>
    </row>
    <row r="98" spans="1:11" x14ac:dyDescent="0.3">
      <c r="A98" s="200" t="s">
        <v>459</v>
      </c>
      <c r="B98" s="196" t="s">
        <v>557</v>
      </c>
      <c r="C98" s="195" t="s">
        <v>54</v>
      </c>
      <c r="D98" s="195" t="s">
        <v>471</v>
      </c>
      <c r="E98" s="197" t="s">
        <v>41</v>
      </c>
      <c r="F98" s="198">
        <v>0.05</v>
      </c>
      <c r="G98" s="199">
        <v>2.2599999999999998</v>
      </c>
      <c r="H98" s="201">
        <f t="shared" si="9"/>
        <v>0.11</v>
      </c>
      <c r="I98" s="194" t="s">
        <v>598</v>
      </c>
      <c r="K98" s="214">
        <f t="shared" si="7"/>
        <v>0.11</v>
      </c>
    </row>
    <row r="99" spans="1:11" ht="14.4" thickBot="1" x14ac:dyDescent="0.35">
      <c r="A99" s="120"/>
      <c r="B99" s="186"/>
      <c r="C99" s="186"/>
      <c r="D99" s="186"/>
      <c r="E99" s="186"/>
      <c r="F99" s="403"/>
      <c r="G99" s="403"/>
      <c r="H99" s="121"/>
      <c r="K99" s="214">
        <f t="shared" si="7"/>
        <v>0</v>
      </c>
    </row>
    <row r="100" spans="1:11" ht="14.4" thickTop="1" x14ac:dyDescent="0.3">
      <c r="A100" s="110"/>
      <c r="B100" s="111"/>
      <c r="C100" s="111"/>
      <c r="D100" s="111"/>
      <c r="E100" s="111"/>
      <c r="F100" s="111"/>
      <c r="G100" s="111"/>
      <c r="H100" s="112"/>
      <c r="K100" s="214">
        <f t="shared" si="7"/>
        <v>0</v>
      </c>
    </row>
    <row r="101" spans="1:11" x14ac:dyDescent="0.3">
      <c r="A101" s="183" t="s">
        <v>562</v>
      </c>
      <c r="B101" s="181" t="s">
        <v>47</v>
      </c>
      <c r="C101" s="180" t="s">
        <v>48</v>
      </c>
      <c r="D101" s="180" t="s">
        <v>49</v>
      </c>
      <c r="E101" s="182" t="s">
        <v>452</v>
      </c>
      <c r="F101" s="181" t="s">
        <v>42</v>
      </c>
      <c r="G101" s="181" t="s">
        <v>453</v>
      </c>
      <c r="H101" s="184" t="s">
        <v>44</v>
      </c>
      <c r="K101" s="214" t="str">
        <f t="shared" si="7"/>
        <v>Total</v>
      </c>
    </row>
    <row r="102" spans="1:11" x14ac:dyDescent="0.3">
      <c r="A102" s="113" t="s">
        <v>454</v>
      </c>
      <c r="B102" s="114" t="s">
        <v>631</v>
      </c>
      <c r="C102" s="115" t="s">
        <v>51</v>
      </c>
      <c r="D102" s="115" t="s">
        <v>90</v>
      </c>
      <c r="E102" s="116" t="s">
        <v>41</v>
      </c>
      <c r="F102" s="117">
        <v>1</v>
      </c>
      <c r="G102" s="118">
        <f>SUM(H103:H108)</f>
        <v>26.9</v>
      </c>
      <c r="H102" s="119">
        <f>G102</f>
        <v>26.9</v>
      </c>
      <c r="I102" s="194" t="s">
        <v>598</v>
      </c>
      <c r="K102" s="214">
        <f t="shared" si="7"/>
        <v>26.9</v>
      </c>
    </row>
    <row r="103" spans="1:11" ht="27.6" x14ac:dyDescent="0.3">
      <c r="A103" s="200" t="s">
        <v>455</v>
      </c>
      <c r="B103" s="196" t="s">
        <v>531</v>
      </c>
      <c r="C103" s="195" t="s">
        <v>54</v>
      </c>
      <c r="D103" s="195" t="s">
        <v>466</v>
      </c>
      <c r="E103" s="197" t="s">
        <v>457</v>
      </c>
      <c r="F103" s="198">
        <v>0.24249999999999999</v>
      </c>
      <c r="G103" s="199">
        <v>19.77</v>
      </c>
      <c r="H103" s="201">
        <f t="shared" ref="H103:H108" si="10">G103*F103</f>
        <v>4.79</v>
      </c>
      <c r="I103" s="194" t="s">
        <v>598</v>
      </c>
      <c r="K103" s="214">
        <f t="shared" si="7"/>
        <v>4.79</v>
      </c>
    </row>
    <row r="104" spans="1:11" ht="27.6" x14ac:dyDescent="0.3">
      <c r="A104" s="200" t="s">
        <v>455</v>
      </c>
      <c r="B104" s="196" t="s">
        <v>532</v>
      </c>
      <c r="C104" s="195" t="s">
        <v>54</v>
      </c>
      <c r="D104" s="195" t="s">
        <v>467</v>
      </c>
      <c r="E104" s="197" t="s">
        <v>457</v>
      </c>
      <c r="F104" s="198">
        <v>0.24249999999999999</v>
      </c>
      <c r="G104" s="199">
        <v>23.96</v>
      </c>
      <c r="H104" s="201">
        <f t="shared" si="10"/>
        <v>5.81</v>
      </c>
      <c r="I104" s="194" t="s">
        <v>598</v>
      </c>
      <c r="K104" s="214">
        <f t="shared" si="7"/>
        <v>5.81</v>
      </c>
    </row>
    <row r="105" spans="1:11" x14ac:dyDescent="0.3">
      <c r="A105" s="200" t="s">
        <v>459</v>
      </c>
      <c r="B105" s="196" t="s">
        <v>563</v>
      </c>
      <c r="C105" s="195" t="s">
        <v>54</v>
      </c>
      <c r="D105" s="195" t="s">
        <v>90</v>
      </c>
      <c r="E105" s="197" t="s">
        <v>41</v>
      </c>
      <c r="F105" s="198">
        <v>1</v>
      </c>
      <c r="G105" s="199">
        <v>10.26</v>
      </c>
      <c r="H105" s="201">
        <f t="shared" si="10"/>
        <v>10.26</v>
      </c>
      <c r="I105" s="194" t="s">
        <v>598</v>
      </c>
      <c r="K105" s="214">
        <f t="shared" si="7"/>
        <v>10.26</v>
      </c>
    </row>
    <row r="106" spans="1:11" x14ac:dyDescent="0.3">
      <c r="A106" s="200" t="s">
        <v>459</v>
      </c>
      <c r="B106" s="196" t="s">
        <v>564</v>
      </c>
      <c r="C106" s="195" t="s">
        <v>54</v>
      </c>
      <c r="D106" s="195" t="s">
        <v>474</v>
      </c>
      <c r="E106" s="197" t="s">
        <v>41</v>
      </c>
      <c r="F106" s="198">
        <v>0.14449999999999999</v>
      </c>
      <c r="G106" s="199">
        <v>21.67</v>
      </c>
      <c r="H106" s="201">
        <f t="shared" si="10"/>
        <v>3.13</v>
      </c>
      <c r="I106" s="194" t="s">
        <v>598</v>
      </c>
      <c r="K106" s="214">
        <f t="shared" si="7"/>
        <v>3.13</v>
      </c>
    </row>
    <row r="107" spans="1:11" x14ac:dyDescent="0.3">
      <c r="A107" s="200" t="s">
        <v>459</v>
      </c>
      <c r="B107" s="196" t="s">
        <v>556</v>
      </c>
      <c r="C107" s="195" t="s">
        <v>54</v>
      </c>
      <c r="D107" s="195" t="s">
        <v>470</v>
      </c>
      <c r="E107" s="197" t="s">
        <v>41</v>
      </c>
      <c r="F107" s="198">
        <v>3.7999999999999999E-2</v>
      </c>
      <c r="G107" s="199">
        <v>75.23</v>
      </c>
      <c r="H107" s="201">
        <f t="shared" si="10"/>
        <v>2.86</v>
      </c>
      <c r="I107" s="194" t="s">
        <v>598</v>
      </c>
      <c r="K107" s="214">
        <f t="shared" si="7"/>
        <v>2.86</v>
      </c>
    </row>
    <row r="108" spans="1:11" x14ac:dyDescent="0.3">
      <c r="A108" s="200" t="s">
        <v>459</v>
      </c>
      <c r="B108" s="196" t="s">
        <v>557</v>
      </c>
      <c r="C108" s="195" t="s">
        <v>54</v>
      </c>
      <c r="D108" s="195" t="s">
        <v>471</v>
      </c>
      <c r="E108" s="197" t="s">
        <v>41</v>
      </c>
      <c r="F108" s="198">
        <v>2.4E-2</v>
      </c>
      <c r="G108" s="199">
        <v>2.2599999999999998</v>
      </c>
      <c r="H108" s="201">
        <f t="shared" si="10"/>
        <v>0.05</v>
      </c>
      <c r="I108" s="194" t="s">
        <v>598</v>
      </c>
      <c r="K108" s="214">
        <f t="shared" si="7"/>
        <v>0.05</v>
      </c>
    </row>
    <row r="109" spans="1:11" ht="14.4" thickBot="1" x14ac:dyDescent="0.35">
      <c r="A109" s="120"/>
      <c r="B109" s="186"/>
      <c r="C109" s="186"/>
      <c r="D109" s="186"/>
      <c r="E109" s="186"/>
      <c r="F109" s="403"/>
      <c r="G109" s="403"/>
      <c r="H109" s="121"/>
      <c r="K109" s="214">
        <f t="shared" si="7"/>
        <v>0</v>
      </c>
    </row>
    <row r="110" spans="1:11" ht="14.4" thickTop="1" x14ac:dyDescent="0.3">
      <c r="A110" s="110"/>
      <c r="B110" s="111"/>
      <c r="C110" s="111"/>
      <c r="D110" s="111"/>
      <c r="E110" s="111"/>
      <c r="F110" s="111"/>
      <c r="G110" s="111"/>
      <c r="H110" s="112"/>
      <c r="K110" s="214">
        <f>H110</f>
        <v>0</v>
      </c>
    </row>
    <row r="111" spans="1:11" x14ac:dyDescent="0.3">
      <c r="A111" s="183" t="s">
        <v>565</v>
      </c>
      <c r="B111" s="181" t="s">
        <v>47</v>
      </c>
      <c r="C111" s="180" t="s">
        <v>48</v>
      </c>
      <c r="D111" s="180" t="s">
        <v>49</v>
      </c>
      <c r="E111" s="182" t="s">
        <v>452</v>
      </c>
      <c r="F111" s="181" t="s">
        <v>42</v>
      </c>
      <c r="G111" s="181" t="s">
        <v>453</v>
      </c>
      <c r="H111" s="184" t="s">
        <v>44</v>
      </c>
      <c r="K111" s="214" t="str">
        <f t="shared" si="7"/>
        <v>Total</v>
      </c>
    </row>
    <row r="112" spans="1:11" x14ac:dyDescent="0.3">
      <c r="A112" s="113" t="s">
        <v>454</v>
      </c>
      <c r="B112" s="114" t="s">
        <v>632</v>
      </c>
      <c r="C112" s="115" t="s">
        <v>51</v>
      </c>
      <c r="D112" s="115" t="s">
        <v>256</v>
      </c>
      <c r="E112" s="116" t="s">
        <v>41</v>
      </c>
      <c r="F112" s="117">
        <v>1</v>
      </c>
      <c r="G112" s="118">
        <f>SUM(H113:H116)</f>
        <v>177.25</v>
      </c>
      <c r="H112" s="119">
        <f>G112</f>
        <v>177.25</v>
      </c>
      <c r="I112" s="194" t="s">
        <v>598</v>
      </c>
      <c r="K112" s="214">
        <f t="shared" si="7"/>
        <v>177.25</v>
      </c>
    </row>
    <row r="113" spans="1:11" ht="27.6" x14ac:dyDescent="0.3">
      <c r="A113" s="200" t="s">
        <v>455</v>
      </c>
      <c r="B113" s="196" t="s">
        <v>566</v>
      </c>
      <c r="C113" s="195" t="s">
        <v>54</v>
      </c>
      <c r="D113" s="195" t="s">
        <v>461</v>
      </c>
      <c r="E113" s="197" t="s">
        <v>457</v>
      </c>
      <c r="F113" s="198">
        <v>1.3231999999999999</v>
      </c>
      <c r="G113" s="199">
        <v>20.72</v>
      </c>
      <c r="H113" s="201">
        <f t="shared" ref="H113:H116" si="11">G113*F113</f>
        <v>27.42</v>
      </c>
      <c r="I113" s="194" t="s">
        <v>598</v>
      </c>
      <c r="K113" s="214">
        <f t="shared" si="7"/>
        <v>27.42</v>
      </c>
    </row>
    <row r="114" spans="1:11" ht="27.6" x14ac:dyDescent="0.3">
      <c r="A114" s="200" t="s">
        <v>455</v>
      </c>
      <c r="B114" s="196" t="s">
        <v>567</v>
      </c>
      <c r="C114" s="195" t="s">
        <v>54</v>
      </c>
      <c r="D114" s="195" t="s">
        <v>462</v>
      </c>
      <c r="E114" s="197" t="s">
        <v>457</v>
      </c>
      <c r="F114" s="198">
        <v>1.3231999999999999</v>
      </c>
      <c r="G114" s="199">
        <v>25.01</v>
      </c>
      <c r="H114" s="201">
        <f t="shared" si="11"/>
        <v>33.090000000000003</v>
      </c>
      <c r="I114" s="194" t="s">
        <v>598</v>
      </c>
      <c r="K114" s="214">
        <f t="shared" si="7"/>
        <v>33.090000000000003</v>
      </c>
    </row>
    <row r="115" spans="1:11" ht="27.6" x14ac:dyDescent="0.3">
      <c r="A115" s="200" t="s">
        <v>459</v>
      </c>
      <c r="B115" s="196" t="s">
        <v>568</v>
      </c>
      <c r="C115" s="195" t="s">
        <v>54</v>
      </c>
      <c r="D115" s="195" t="s">
        <v>464</v>
      </c>
      <c r="E115" s="197" t="s">
        <v>41</v>
      </c>
      <c r="F115" s="198">
        <v>3</v>
      </c>
      <c r="G115" s="199">
        <v>4.84</v>
      </c>
      <c r="H115" s="201">
        <f t="shared" si="11"/>
        <v>14.52</v>
      </c>
      <c r="I115" s="194" t="s">
        <v>598</v>
      </c>
      <c r="K115" s="214">
        <f t="shared" si="7"/>
        <v>14.52</v>
      </c>
    </row>
    <row r="116" spans="1:11" ht="27.6" x14ac:dyDescent="0.3">
      <c r="A116" s="200" t="s">
        <v>459</v>
      </c>
      <c r="B116" s="196" t="s">
        <v>569</v>
      </c>
      <c r="C116" s="195" t="s">
        <v>54</v>
      </c>
      <c r="D116" s="195" t="s">
        <v>465</v>
      </c>
      <c r="E116" s="197" t="s">
        <v>41</v>
      </c>
      <c r="F116" s="198">
        <v>1</v>
      </c>
      <c r="G116" s="199">
        <v>102.22</v>
      </c>
      <c r="H116" s="201">
        <f t="shared" si="11"/>
        <v>102.22</v>
      </c>
      <c r="I116" s="194" t="s">
        <v>598</v>
      </c>
      <c r="K116" s="214">
        <f t="shared" si="7"/>
        <v>102.22</v>
      </c>
    </row>
    <row r="117" spans="1:11" ht="14.4" thickBot="1" x14ac:dyDescent="0.35">
      <c r="A117" s="120"/>
      <c r="B117" s="186"/>
      <c r="C117" s="186"/>
      <c r="D117" s="186"/>
      <c r="E117" s="186"/>
      <c r="F117" s="403"/>
      <c r="G117" s="403"/>
      <c r="H117" s="121"/>
      <c r="K117" s="214">
        <f t="shared" si="7"/>
        <v>0</v>
      </c>
    </row>
    <row r="118" spans="1:11" ht="14.4" thickTop="1" x14ac:dyDescent="0.3">
      <c r="A118" s="110"/>
      <c r="B118" s="111"/>
      <c r="C118" s="111"/>
      <c r="D118" s="111"/>
      <c r="E118" s="111"/>
      <c r="F118" s="111"/>
      <c r="G118" s="111"/>
      <c r="H118" s="112"/>
      <c r="K118" s="214">
        <f t="shared" si="7"/>
        <v>0</v>
      </c>
    </row>
    <row r="119" spans="1:11" x14ac:dyDescent="0.3">
      <c r="A119" s="183" t="s">
        <v>570</v>
      </c>
      <c r="B119" s="181" t="s">
        <v>47</v>
      </c>
      <c r="C119" s="180" t="s">
        <v>48</v>
      </c>
      <c r="D119" s="180" t="s">
        <v>49</v>
      </c>
      <c r="E119" s="182" t="s">
        <v>452</v>
      </c>
      <c r="F119" s="181" t="s">
        <v>42</v>
      </c>
      <c r="G119" s="181" t="s">
        <v>453</v>
      </c>
      <c r="H119" s="184" t="s">
        <v>44</v>
      </c>
      <c r="K119" s="214" t="str">
        <f t="shared" si="7"/>
        <v>Total</v>
      </c>
    </row>
    <row r="120" spans="1:11" x14ac:dyDescent="0.3">
      <c r="A120" s="113" t="s">
        <v>454</v>
      </c>
      <c r="B120" s="114" t="s">
        <v>633</v>
      </c>
      <c r="C120" s="115" t="s">
        <v>51</v>
      </c>
      <c r="D120" s="115" t="s">
        <v>257</v>
      </c>
      <c r="E120" s="116" t="s">
        <v>41</v>
      </c>
      <c r="F120" s="117">
        <v>1</v>
      </c>
      <c r="G120" s="118">
        <f>SUM(H121:H124)</f>
        <v>214.18</v>
      </c>
      <c r="H120" s="119">
        <f>G120</f>
        <v>214.18</v>
      </c>
      <c r="I120" s="194" t="s">
        <v>598</v>
      </c>
      <c r="K120" s="214">
        <f t="shared" si="7"/>
        <v>214.18</v>
      </c>
    </row>
    <row r="121" spans="1:11" ht="27.6" x14ac:dyDescent="0.3">
      <c r="A121" s="200" t="s">
        <v>455</v>
      </c>
      <c r="B121" s="196" t="s">
        <v>566</v>
      </c>
      <c r="C121" s="195" t="s">
        <v>54</v>
      </c>
      <c r="D121" s="195" t="s">
        <v>461</v>
      </c>
      <c r="E121" s="197" t="s">
        <v>457</v>
      </c>
      <c r="F121" s="198">
        <v>1.3231999999999999</v>
      </c>
      <c r="G121" s="199">
        <v>20.72</v>
      </c>
      <c r="H121" s="201">
        <f t="shared" ref="H121:H124" si="12">G121*F121</f>
        <v>27.42</v>
      </c>
      <c r="I121" s="194" t="s">
        <v>598</v>
      </c>
      <c r="K121" s="214">
        <f t="shared" si="7"/>
        <v>27.42</v>
      </c>
    </row>
    <row r="122" spans="1:11" ht="27.6" x14ac:dyDescent="0.3">
      <c r="A122" s="200" t="s">
        <v>455</v>
      </c>
      <c r="B122" s="196" t="s">
        <v>567</v>
      </c>
      <c r="C122" s="195" t="s">
        <v>54</v>
      </c>
      <c r="D122" s="195" t="s">
        <v>462</v>
      </c>
      <c r="E122" s="197" t="s">
        <v>457</v>
      </c>
      <c r="F122" s="198">
        <v>1.3231999999999999</v>
      </c>
      <c r="G122" s="199">
        <v>25.01</v>
      </c>
      <c r="H122" s="201">
        <f t="shared" si="12"/>
        <v>33.090000000000003</v>
      </c>
      <c r="I122" s="194" t="s">
        <v>598</v>
      </c>
      <c r="K122" s="214">
        <f t="shared" si="7"/>
        <v>33.090000000000003</v>
      </c>
    </row>
    <row r="123" spans="1:11" ht="27.6" x14ac:dyDescent="0.3">
      <c r="A123" s="200" t="s">
        <v>459</v>
      </c>
      <c r="B123" s="196" t="s">
        <v>568</v>
      </c>
      <c r="C123" s="195" t="s">
        <v>54</v>
      </c>
      <c r="D123" s="195" t="s">
        <v>464</v>
      </c>
      <c r="E123" s="197" t="s">
        <v>41</v>
      </c>
      <c r="F123" s="198">
        <v>3</v>
      </c>
      <c r="G123" s="199">
        <v>4.84</v>
      </c>
      <c r="H123" s="201">
        <f t="shared" si="12"/>
        <v>14.52</v>
      </c>
      <c r="I123" s="194" t="s">
        <v>598</v>
      </c>
      <c r="K123" s="214">
        <f t="shared" si="7"/>
        <v>14.52</v>
      </c>
    </row>
    <row r="124" spans="1:11" x14ac:dyDescent="0.3">
      <c r="A124" s="200" t="s">
        <v>459</v>
      </c>
      <c r="B124" s="196" t="s">
        <v>571</v>
      </c>
      <c r="C124" s="195" t="s">
        <v>54</v>
      </c>
      <c r="D124" s="195" t="s">
        <v>572</v>
      </c>
      <c r="E124" s="197" t="s">
        <v>41</v>
      </c>
      <c r="F124" s="198">
        <v>1</v>
      </c>
      <c r="G124" s="199">
        <v>139.15</v>
      </c>
      <c r="H124" s="201">
        <f t="shared" si="12"/>
        <v>139.15</v>
      </c>
      <c r="I124" s="194" t="s">
        <v>598</v>
      </c>
      <c r="K124" s="214">
        <f t="shared" si="7"/>
        <v>139.15</v>
      </c>
    </row>
    <row r="125" spans="1:11" ht="14.4" thickBot="1" x14ac:dyDescent="0.35">
      <c r="A125" s="120"/>
      <c r="B125" s="186"/>
      <c r="C125" s="186"/>
      <c r="D125" s="186"/>
      <c r="E125" s="186"/>
      <c r="F125" s="403"/>
      <c r="G125" s="403"/>
      <c r="H125" s="121"/>
      <c r="K125" s="214">
        <f t="shared" si="7"/>
        <v>0</v>
      </c>
    </row>
    <row r="126" spans="1:11" ht="14.4" thickTop="1" x14ac:dyDescent="0.3">
      <c r="A126" s="110"/>
      <c r="B126" s="111"/>
      <c r="C126" s="111"/>
      <c r="D126" s="111"/>
      <c r="E126" s="111"/>
      <c r="F126" s="111"/>
      <c r="G126" s="111"/>
      <c r="H126" s="112"/>
      <c r="K126" s="214">
        <f t="shared" si="7"/>
        <v>0</v>
      </c>
    </row>
    <row r="127" spans="1:11" x14ac:dyDescent="0.3">
      <c r="A127" s="183" t="s">
        <v>573</v>
      </c>
      <c r="B127" s="181" t="s">
        <v>47</v>
      </c>
      <c r="C127" s="180" t="s">
        <v>48</v>
      </c>
      <c r="D127" s="180" t="s">
        <v>49</v>
      </c>
      <c r="E127" s="182" t="s">
        <v>452</v>
      </c>
      <c r="F127" s="181" t="s">
        <v>42</v>
      </c>
      <c r="G127" s="181" t="s">
        <v>453</v>
      </c>
      <c r="H127" s="184" t="s">
        <v>44</v>
      </c>
      <c r="K127" s="214" t="str">
        <f t="shared" si="7"/>
        <v>Total</v>
      </c>
    </row>
    <row r="128" spans="1:11" ht="27.6" x14ac:dyDescent="0.3">
      <c r="A128" s="113" t="s">
        <v>454</v>
      </c>
      <c r="B128" s="114" t="s">
        <v>634</v>
      </c>
      <c r="C128" s="115" t="s">
        <v>51</v>
      </c>
      <c r="D128" s="115" t="s">
        <v>260</v>
      </c>
      <c r="E128" s="116" t="s">
        <v>41</v>
      </c>
      <c r="F128" s="117">
        <v>1</v>
      </c>
      <c r="G128" s="118">
        <f>SUM(H129:H132)</f>
        <v>136.57</v>
      </c>
      <c r="H128" s="119">
        <f>G128</f>
        <v>136.57</v>
      </c>
      <c r="I128" s="194" t="s">
        <v>598</v>
      </c>
      <c r="K128" s="214">
        <f t="shared" si="7"/>
        <v>136.57</v>
      </c>
    </row>
    <row r="129" spans="1:11" ht="27.6" x14ac:dyDescent="0.3">
      <c r="A129" s="200" t="s">
        <v>455</v>
      </c>
      <c r="B129" s="196" t="s">
        <v>566</v>
      </c>
      <c r="C129" s="195" t="s">
        <v>54</v>
      </c>
      <c r="D129" s="195" t="s">
        <v>461</v>
      </c>
      <c r="E129" s="197" t="s">
        <v>457</v>
      </c>
      <c r="F129" s="198">
        <v>0.18329999999999999</v>
      </c>
      <c r="G129" s="199">
        <v>20.72</v>
      </c>
      <c r="H129" s="201">
        <f t="shared" ref="H129:H132" si="13">G129*F129</f>
        <v>3.8</v>
      </c>
      <c r="I129" s="194" t="s">
        <v>598</v>
      </c>
      <c r="K129" s="214">
        <f>H129</f>
        <v>3.8</v>
      </c>
    </row>
    <row r="130" spans="1:11" ht="27.6" x14ac:dyDescent="0.3">
      <c r="A130" s="200" t="s">
        <v>455</v>
      </c>
      <c r="B130" s="196" t="s">
        <v>567</v>
      </c>
      <c r="C130" s="195" t="s">
        <v>54</v>
      </c>
      <c r="D130" s="195" t="s">
        <v>462</v>
      </c>
      <c r="E130" s="197" t="s">
        <v>457</v>
      </c>
      <c r="F130" s="198">
        <v>0.45179999999999998</v>
      </c>
      <c r="G130" s="199">
        <v>25.01</v>
      </c>
      <c r="H130" s="201">
        <f t="shared" si="13"/>
        <v>11.3</v>
      </c>
      <c r="I130" s="194" t="s">
        <v>598</v>
      </c>
      <c r="K130" s="214">
        <f t="shared" si="7"/>
        <v>11.3</v>
      </c>
    </row>
    <row r="131" spans="1:11" ht="27.6" x14ac:dyDescent="0.3">
      <c r="A131" s="200" t="s">
        <v>459</v>
      </c>
      <c r="B131" s="196" t="s">
        <v>574</v>
      </c>
      <c r="C131" s="195" t="s">
        <v>54</v>
      </c>
      <c r="D131" s="195" t="s">
        <v>575</v>
      </c>
      <c r="E131" s="197" t="s">
        <v>41</v>
      </c>
      <c r="F131" s="198">
        <v>1</v>
      </c>
      <c r="G131" s="199">
        <v>112.25</v>
      </c>
      <c r="H131" s="201">
        <f t="shared" si="13"/>
        <v>112.25</v>
      </c>
      <c r="I131" s="194" t="s">
        <v>598</v>
      </c>
      <c r="K131" s="214">
        <f t="shared" si="7"/>
        <v>112.25</v>
      </c>
    </row>
    <row r="132" spans="1:11" x14ac:dyDescent="0.3">
      <c r="A132" s="200" t="s">
        <v>459</v>
      </c>
      <c r="B132" s="196" t="s">
        <v>576</v>
      </c>
      <c r="C132" s="195" t="s">
        <v>54</v>
      </c>
      <c r="D132" s="195" t="s">
        <v>577</v>
      </c>
      <c r="E132" s="197" t="s">
        <v>41</v>
      </c>
      <c r="F132" s="198">
        <v>1</v>
      </c>
      <c r="G132" s="199">
        <v>9.2200000000000006</v>
      </c>
      <c r="H132" s="201">
        <f t="shared" si="13"/>
        <v>9.2200000000000006</v>
      </c>
      <c r="I132" s="194" t="s">
        <v>598</v>
      </c>
      <c r="K132" s="214">
        <f t="shared" si="7"/>
        <v>9.2200000000000006</v>
      </c>
    </row>
    <row r="133" spans="1:11" ht="14.4" thickBot="1" x14ac:dyDescent="0.35">
      <c r="A133" s="120"/>
      <c r="B133" s="186"/>
      <c r="C133" s="186"/>
      <c r="D133" s="186"/>
      <c r="E133" s="186"/>
      <c r="F133" s="403"/>
      <c r="G133" s="403"/>
      <c r="H133" s="121"/>
      <c r="K133" s="214">
        <f t="shared" si="7"/>
        <v>0</v>
      </c>
    </row>
    <row r="134" spans="1:11" ht="14.4" thickTop="1" x14ac:dyDescent="0.3">
      <c r="A134" s="110"/>
      <c r="B134" s="111"/>
      <c r="C134" s="111"/>
      <c r="D134" s="111"/>
      <c r="E134" s="111"/>
      <c r="F134" s="111"/>
      <c r="G134" s="111"/>
      <c r="H134" s="112"/>
      <c r="K134" s="214">
        <f t="shared" si="7"/>
        <v>0</v>
      </c>
    </row>
    <row r="135" spans="1:11" x14ac:dyDescent="0.3">
      <c r="A135" s="183" t="s">
        <v>578</v>
      </c>
      <c r="B135" s="181" t="s">
        <v>47</v>
      </c>
      <c r="C135" s="180" t="s">
        <v>48</v>
      </c>
      <c r="D135" s="180" t="s">
        <v>49</v>
      </c>
      <c r="E135" s="182" t="s">
        <v>452</v>
      </c>
      <c r="F135" s="181" t="s">
        <v>42</v>
      </c>
      <c r="G135" s="181" t="s">
        <v>453</v>
      </c>
      <c r="H135" s="184" t="s">
        <v>44</v>
      </c>
      <c r="K135" s="214" t="str">
        <f t="shared" si="7"/>
        <v>Total</v>
      </c>
    </row>
    <row r="136" spans="1:11" ht="27.6" x14ac:dyDescent="0.3">
      <c r="A136" s="113" t="s">
        <v>454</v>
      </c>
      <c r="B136" s="114" t="s">
        <v>635</v>
      </c>
      <c r="C136" s="115" t="s">
        <v>51</v>
      </c>
      <c r="D136" s="115" t="s">
        <v>261</v>
      </c>
      <c r="E136" s="116" t="s">
        <v>41</v>
      </c>
      <c r="F136" s="117">
        <v>1</v>
      </c>
      <c r="G136" s="118">
        <f>SUM(H137:H140)</f>
        <v>140.58000000000001</v>
      </c>
      <c r="H136" s="119">
        <f>G136</f>
        <v>140.58000000000001</v>
      </c>
      <c r="K136" s="214">
        <f t="shared" si="7"/>
        <v>140.58000000000001</v>
      </c>
    </row>
    <row r="137" spans="1:11" ht="27.6" x14ac:dyDescent="0.3">
      <c r="A137" s="200" t="s">
        <v>455</v>
      </c>
      <c r="B137" s="196" t="s">
        <v>566</v>
      </c>
      <c r="C137" s="195" t="s">
        <v>54</v>
      </c>
      <c r="D137" s="195" t="s">
        <v>461</v>
      </c>
      <c r="E137" s="197" t="s">
        <v>457</v>
      </c>
      <c r="F137" s="198">
        <v>0.18329999999999999</v>
      </c>
      <c r="G137" s="199">
        <v>20.72</v>
      </c>
      <c r="H137" s="201">
        <f t="shared" ref="H137:H140" si="14">G137*F137</f>
        <v>3.8</v>
      </c>
      <c r="I137" s="194" t="s">
        <v>598</v>
      </c>
      <c r="K137" s="214">
        <f t="shared" si="7"/>
        <v>3.8</v>
      </c>
    </row>
    <row r="138" spans="1:11" ht="27.6" x14ac:dyDescent="0.3">
      <c r="A138" s="200" t="s">
        <v>455</v>
      </c>
      <c r="B138" s="196" t="s">
        <v>567</v>
      </c>
      <c r="C138" s="195" t="s">
        <v>54</v>
      </c>
      <c r="D138" s="195" t="s">
        <v>462</v>
      </c>
      <c r="E138" s="197" t="s">
        <v>457</v>
      </c>
      <c r="F138" s="198">
        <v>0.45179999999999998</v>
      </c>
      <c r="G138" s="199">
        <v>25.01</v>
      </c>
      <c r="H138" s="201">
        <f t="shared" si="14"/>
        <v>11.3</v>
      </c>
      <c r="I138" s="194" t="s">
        <v>598</v>
      </c>
      <c r="K138" s="214">
        <f t="shared" ref="K138:K145" si="15">H138</f>
        <v>11.3</v>
      </c>
    </row>
    <row r="139" spans="1:11" ht="27.6" x14ac:dyDescent="0.3">
      <c r="A139" s="200" t="s">
        <v>459</v>
      </c>
      <c r="B139" s="196" t="s">
        <v>574</v>
      </c>
      <c r="C139" s="195" t="s">
        <v>54</v>
      </c>
      <c r="D139" s="195" t="s">
        <v>575</v>
      </c>
      <c r="E139" s="197" t="s">
        <v>41</v>
      </c>
      <c r="F139" s="198">
        <v>1</v>
      </c>
      <c r="G139" s="199">
        <v>112.25</v>
      </c>
      <c r="H139" s="201">
        <f t="shared" si="14"/>
        <v>112.25</v>
      </c>
      <c r="I139" s="194" t="s">
        <v>598</v>
      </c>
      <c r="K139" s="214">
        <f t="shared" si="15"/>
        <v>112.25</v>
      </c>
    </row>
    <row r="140" spans="1:11" x14ac:dyDescent="0.3">
      <c r="A140" s="200" t="s">
        <v>459</v>
      </c>
      <c r="B140" s="196" t="s">
        <v>579</v>
      </c>
      <c r="C140" s="195" t="s">
        <v>54</v>
      </c>
      <c r="D140" s="195" t="s">
        <v>580</v>
      </c>
      <c r="E140" s="197" t="s">
        <v>41</v>
      </c>
      <c r="F140" s="198">
        <v>1</v>
      </c>
      <c r="G140" s="199">
        <v>13.23</v>
      </c>
      <c r="H140" s="201">
        <f t="shared" si="14"/>
        <v>13.23</v>
      </c>
      <c r="I140" s="194" t="s">
        <v>598</v>
      </c>
      <c r="K140" s="214">
        <f t="shared" si="15"/>
        <v>13.23</v>
      </c>
    </row>
    <row r="141" spans="1:11" ht="14.4" thickBot="1" x14ac:dyDescent="0.35">
      <c r="A141" s="120"/>
      <c r="B141" s="186"/>
      <c r="C141" s="186"/>
      <c r="D141" s="186"/>
      <c r="E141" s="186"/>
      <c r="F141" s="403"/>
      <c r="G141" s="403"/>
      <c r="H141" s="121"/>
      <c r="K141" s="214">
        <f t="shared" si="15"/>
        <v>0</v>
      </c>
    </row>
    <row r="142" spans="1:11" ht="14.4" thickTop="1" x14ac:dyDescent="0.3">
      <c r="A142" s="110"/>
      <c r="B142" s="111"/>
      <c r="C142" s="111"/>
      <c r="D142" s="111"/>
      <c r="E142" s="111"/>
      <c r="F142" s="111"/>
      <c r="G142" s="111"/>
      <c r="H142" s="112"/>
      <c r="K142" s="214">
        <f t="shared" si="15"/>
        <v>0</v>
      </c>
    </row>
    <row r="143" spans="1:11" x14ac:dyDescent="0.3">
      <c r="A143" s="183" t="s">
        <v>581</v>
      </c>
      <c r="B143" s="181" t="s">
        <v>47</v>
      </c>
      <c r="C143" s="180" t="s">
        <v>48</v>
      </c>
      <c r="D143" s="180" t="s">
        <v>49</v>
      </c>
      <c r="E143" s="182" t="s">
        <v>452</v>
      </c>
      <c r="F143" s="181" t="s">
        <v>42</v>
      </c>
      <c r="G143" s="181" t="s">
        <v>453</v>
      </c>
      <c r="H143" s="184" t="s">
        <v>44</v>
      </c>
      <c r="K143" s="214" t="str">
        <f t="shared" si="15"/>
        <v>Total</v>
      </c>
    </row>
    <row r="144" spans="1:11" x14ac:dyDescent="0.3">
      <c r="A144" s="113" t="s">
        <v>454</v>
      </c>
      <c r="B144" s="114" t="s">
        <v>636</v>
      </c>
      <c r="C144" s="115" t="s">
        <v>51</v>
      </c>
      <c r="D144" s="115" t="s">
        <v>272</v>
      </c>
      <c r="E144" s="116" t="s">
        <v>63</v>
      </c>
      <c r="F144" s="117">
        <v>1</v>
      </c>
      <c r="G144" s="118">
        <f>SUM(H145:H147)</f>
        <v>30.76</v>
      </c>
      <c r="H144" s="119">
        <f>G144</f>
        <v>30.76</v>
      </c>
      <c r="I144" s="194" t="s">
        <v>598</v>
      </c>
      <c r="K144" s="214">
        <f t="shared" si="15"/>
        <v>30.76</v>
      </c>
    </row>
    <row r="145" spans="1:11" ht="27.6" x14ac:dyDescent="0.3">
      <c r="A145" s="200" t="s">
        <v>455</v>
      </c>
      <c r="B145" s="196" t="s">
        <v>567</v>
      </c>
      <c r="C145" s="195" t="s">
        <v>54</v>
      </c>
      <c r="D145" s="195" t="s">
        <v>462</v>
      </c>
      <c r="E145" s="197" t="s">
        <v>457</v>
      </c>
      <c r="F145" s="198">
        <v>0.4</v>
      </c>
      <c r="G145" s="199">
        <v>25.01</v>
      </c>
      <c r="H145" s="201">
        <f t="shared" ref="H145:H147" si="16">G145*F145</f>
        <v>10</v>
      </c>
      <c r="I145" s="194" t="s">
        <v>598</v>
      </c>
      <c r="K145" s="214">
        <f t="shared" si="15"/>
        <v>10</v>
      </c>
    </row>
    <row r="146" spans="1:11" ht="27.6" x14ac:dyDescent="0.3">
      <c r="A146" s="200" t="s">
        <v>455</v>
      </c>
      <c r="B146" s="196" t="s">
        <v>566</v>
      </c>
      <c r="C146" s="195" t="s">
        <v>54</v>
      </c>
      <c r="D146" s="195" t="s">
        <v>461</v>
      </c>
      <c r="E146" s="197" t="s">
        <v>457</v>
      </c>
      <c r="F146" s="198">
        <v>0.2</v>
      </c>
      <c r="G146" s="199">
        <v>20.72</v>
      </c>
      <c r="H146" s="201">
        <f t="shared" si="16"/>
        <v>4.1399999999999997</v>
      </c>
      <c r="I146" s="194" t="s">
        <v>598</v>
      </c>
    </row>
    <row r="147" spans="1:11" x14ac:dyDescent="0.3">
      <c r="A147" s="200" t="s">
        <v>459</v>
      </c>
      <c r="B147" s="196" t="s">
        <v>582</v>
      </c>
      <c r="C147" s="195" t="s">
        <v>55</v>
      </c>
      <c r="D147" s="195" t="s">
        <v>599</v>
      </c>
      <c r="E147" s="197" t="s">
        <v>41</v>
      </c>
      <c r="F147" s="198">
        <v>0.33300000000000002</v>
      </c>
      <c r="G147" s="199">
        <v>49.9</v>
      </c>
      <c r="H147" s="201">
        <f t="shared" si="16"/>
        <v>16.62</v>
      </c>
      <c r="I147" s="194" t="s">
        <v>598</v>
      </c>
    </row>
    <row r="148" spans="1:11" ht="14.4" thickBot="1" x14ac:dyDescent="0.35">
      <c r="A148" s="120"/>
      <c r="B148" s="186"/>
      <c r="C148" s="186"/>
      <c r="D148" s="186"/>
      <c r="E148" s="186"/>
      <c r="F148" s="403"/>
      <c r="G148" s="403"/>
      <c r="H148" s="121"/>
    </row>
    <row r="149" spans="1:11" x14ac:dyDescent="0.3">
      <c r="A149" s="310"/>
      <c r="B149" s="311"/>
      <c r="C149" s="311"/>
      <c r="D149" s="311"/>
      <c r="E149" s="311"/>
      <c r="F149" s="311"/>
      <c r="G149" s="311"/>
      <c r="H149" s="312"/>
    </row>
    <row r="150" spans="1:11" x14ac:dyDescent="0.3">
      <c r="A150" s="348"/>
      <c r="B150" s="349"/>
      <c r="C150" s="349"/>
      <c r="D150" s="349"/>
      <c r="E150" s="349"/>
      <c r="F150" s="349"/>
      <c r="G150" s="349"/>
      <c r="H150" s="350"/>
    </row>
    <row r="151" spans="1:11" x14ac:dyDescent="0.3">
      <c r="A151" s="348" t="s">
        <v>189</v>
      </c>
      <c r="B151" s="349"/>
      <c r="C151" s="349"/>
      <c r="D151" s="349"/>
      <c r="E151" s="349"/>
      <c r="F151" s="349"/>
      <c r="G151" s="349"/>
      <c r="H151" s="350"/>
    </row>
    <row r="152" spans="1:11" x14ac:dyDescent="0.3">
      <c r="A152" s="349" t="s">
        <v>190</v>
      </c>
      <c r="B152" s="349"/>
      <c r="C152" s="349"/>
      <c r="D152" s="349"/>
      <c r="E152" s="349"/>
      <c r="F152" s="349"/>
      <c r="G152" s="349"/>
      <c r="H152" s="349"/>
    </row>
    <row r="153" spans="1:11" x14ac:dyDescent="0.3">
      <c r="A153" s="349" t="s">
        <v>191</v>
      </c>
      <c r="B153" s="349"/>
      <c r="C153" s="349"/>
      <c r="D153" s="349"/>
      <c r="E153" s="349"/>
      <c r="F153" s="349"/>
      <c r="G153" s="349"/>
      <c r="H153" s="349"/>
    </row>
    <row r="154" spans="1:11" x14ac:dyDescent="0.3">
      <c r="A154" s="349" t="s">
        <v>192</v>
      </c>
      <c r="B154" s="349"/>
      <c r="C154" s="349"/>
      <c r="D154" s="349"/>
      <c r="E154" s="349"/>
      <c r="F154" s="349"/>
      <c r="G154" s="349"/>
      <c r="H154" s="349"/>
    </row>
    <row r="155" spans="1:11" x14ac:dyDescent="0.3">
      <c r="A155" s="222"/>
      <c r="B155" s="222"/>
      <c r="C155" s="222"/>
      <c r="D155" s="222"/>
      <c r="E155" s="222"/>
      <c r="F155" s="222"/>
      <c r="G155" s="222"/>
      <c r="H155" s="222"/>
    </row>
    <row r="156" spans="1:11" x14ac:dyDescent="0.3">
      <c r="A156" s="222"/>
      <c r="B156" s="222"/>
      <c r="C156" s="222"/>
      <c r="D156" s="222"/>
      <c r="E156" s="222"/>
      <c r="F156" s="222"/>
      <c r="G156" s="222"/>
      <c r="H156" s="222"/>
    </row>
  </sheetData>
  <mergeCells count="38">
    <mergeCell ref="A154:H154"/>
    <mergeCell ref="A153:H153"/>
    <mergeCell ref="F79:G79"/>
    <mergeCell ref="F69:G69"/>
    <mergeCell ref="F12:G12"/>
    <mergeCell ref="A152:H152"/>
    <mergeCell ref="F24:G24"/>
    <mergeCell ref="F31:G31"/>
    <mergeCell ref="F40:G40"/>
    <mergeCell ref="F51:G51"/>
    <mergeCell ref="A1:A6"/>
    <mergeCell ref="B1:D1"/>
    <mergeCell ref="E1:F1"/>
    <mergeCell ref="G1:H1"/>
    <mergeCell ref="B2:D2"/>
    <mergeCell ref="E2:F2"/>
    <mergeCell ref="G2:H3"/>
    <mergeCell ref="B3:D3"/>
    <mergeCell ref="E3:F3"/>
    <mergeCell ref="B4:D4"/>
    <mergeCell ref="E4:F4"/>
    <mergeCell ref="G4:H4"/>
    <mergeCell ref="B5:D6"/>
    <mergeCell ref="E5:F5"/>
    <mergeCell ref="G5:H6"/>
    <mergeCell ref="E6:F6"/>
    <mergeCell ref="A7:H7"/>
    <mergeCell ref="F148:G148"/>
    <mergeCell ref="A149:H149"/>
    <mergeCell ref="A150:H150"/>
    <mergeCell ref="A151:H151"/>
    <mergeCell ref="F141:G141"/>
    <mergeCell ref="F89:G89"/>
    <mergeCell ref="F99:G99"/>
    <mergeCell ref="F109:G109"/>
    <mergeCell ref="F117:G117"/>
    <mergeCell ref="F125:G125"/>
    <mergeCell ref="F133:G133"/>
  </mergeCells>
  <conditionalFormatting sqref="I1:I15 I17:I1048576">
    <cfRule type="cellIs" dxfId="9" priority="2" operator="equal">
      <formula>"ok"</formula>
    </cfRule>
  </conditionalFormatting>
  <conditionalFormatting sqref="I16">
    <cfRule type="cellIs" dxfId="8" priority="1" operator="equal">
      <formula>"ok"</formula>
    </cfRule>
  </conditionalFormatting>
  <printOptions horizontalCentered="1"/>
  <pageMargins left="0.51181102362204722" right="0.51181102362204722" top="0.78740157480314965" bottom="0.98425196850393704" header="0.31496062992125984" footer="0.31496062992125984"/>
  <pageSetup paperSize="9" scale="56" fitToHeight="4" orientation="portrait" r:id="rId1"/>
  <rowBreaks count="1" manualBreakCount="1">
    <brk id="7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6EEF-F066-4EA6-B087-B03F33229A6B}">
  <sheetPr>
    <pageSetUpPr fitToPage="1"/>
  </sheetPr>
  <dimension ref="A1:R57"/>
  <sheetViews>
    <sheetView showOutlineSymbols="0" showWhiteSpace="0" view="pageBreakPreview" zoomScale="85" zoomScaleNormal="100" zoomScaleSheetLayoutView="85" workbookViewId="0">
      <selection activeCell="J18" sqref="J18"/>
    </sheetView>
  </sheetViews>
  <sheetFormatPr defaultColWidth="9.109375" defaultRowHeight="13.8" x14ac:dyDescent="0.3"/>
  <cols>
    <col min="1" max="1" width="10.44140625" style="109" customWidth="1"/>
    <col min="2" max="2" width="38.109375" style="109" bestFit="1" customWidth="1"/>
    <col min="3" max="3" width="15" style="109" bestFit="1" customWidth="1"/>
    <col min="4" max="15" width="12.6640625" style="109" customWidth="1"/>
    <col min="16" max="30" width="13.6640625" style="109" bestFit="1" customWidth="1"/>
    <col min="31" max="16384" width="9.109375" style="109"/>
  </cols>
  <sheetData>
    <row r="1" spans="1:18" x14ac:dyDescent="0.3">
      <c r="A1" s="263"/>
      <c r="B1" s="263" t="s">
        <v>12</v>
      </c>
      <c r="C1" s="228"/>
      <c r="D1" s="228"/>
      <c r="E1" s="228"/>
      <c r="F1" s="228"/>
      <c r="G1" s="228"/>
      <c r="H1" s="228"/>
      <c r="I1" s="228"/>
      <c r="J1" s="228"/>
      <c r="K1" s="264"/>
      <c r="L1" s="265" t="s">
        <v>13</v>
      </c>
      <c r="M1" s="265"/>
      <c r="N1" s="317" t="s">
        <v>14</v>
      </c>
      <c r="O1" s="318"/>
    </row>
    <row r="2" spans="1:18" x14ac:dyDescent="0.3">
      <c r="A2" s="268"/>
      <c r="B2" s="268" t="s">
        <v>15</v>
      </c>
      <c r="C2" s="227"/>
      <c r="D2" s="227"/>
      <c r="E2" s="227"/>
      <c r="F2" s="227"/>
      <c r="G2" s="227"/>
      <c r="H2" s="227"/>
      <c r="I2" s="227"/>
      <c r="J2" s="227"/>
      <c r="K2" s="269"/>
      <c r="L2" s="270" t="s">
        <v>318</v>
      </c>
      <c r="M2" s="270"/>
      <c r="N2" s="308">
        <f>[4]SINTÉTICO!I2</f>
        <v>0.29070000000000001</v>
      </c>
      <c r="O2" s="309"/>
    </row>
    <row r="3" spans="1:18" x14ac:dyDescent="0.3">
      <c r="A3" s="268"/>
      <c r="B3" s="268" t="s">
        <v>16</v>
      </c>
      <c r="C3" s="227"/>
      <c r="D3" s="227"/>
      <c r="E3" s="227"/>
      <c r="F3" s="227"/>
      <c r="G3" s="227"/>
      <c r="H3" s="227"/>
      <c r="I3" s="227"/>
      <c r="J3" s="227"/>
      <c r="K3" s="269"/>
      <c r="L3" s="270" t="s">
        <v>118</v>
      </c>
      <c r="M3" s="270"/>
      <c r="N3" s="308"/>
      <c r="O3" s="309"/>
    </row>
    <row r="4" spans="1:18" x14ac:dyDescent="0.3">
      <c r="A4" s="268"/>
      <c r="B4" s="329" t="s">
        <v>17</v>
      </c>
      <c r="C4" s="330"/>
      <c r="D4" s="330"/>
      <c r="E4" s="330"/>
      <c r="F4" s="330"/>
      <c r="G4" s="330"/>
      <c r="H4" s="330"/>
      <c r="I4" s="330"/>
      <c r="J4" s="330"/>
      <c r="K4" s="417"/>
      <c r="L4" s="418"/>
      <c r="M4" s="418"/>
      <c r="N4" s="351" t="s">
        <v>18</v>
      </c>
      <c r="O4" s="352"/>
    </row>
    <row r="5" spans="1:18" x14ac:dyDescent="0.3">
      <c r="A5" s="268"/>
      <c r="B5" s="419" t="s">
        <v>450</v>
      </c>
      <c r="C5" s="420"/>
      <c r="D5" s="420"/>
      <c r="E5" s="420"/>
      <c r="F5" s="420"/>
      <c r="G5" s="420"/>
      <c r="H5" s="420"/>
      <c r="I5" s="420"/>
      <c r="J5" s="420"/>
      <c r="K5" s="421"/>
      <c r="L5" s="423"/>
      <c r="M5" s="423"/>
      <c r="N5" s="332" t="s">
        <v>19</v>
      </c>
      <c r="O5" s="333"/>
    </row>
    <row r="6" spans="1:18" ht="14.4" thickBot="1" x14ac:dyDescent="0.35">
      <c r="A6" s="316"/>
      <c r="B6" s="316"/>
      <c r="C6" s="231"/>
      <c r="D6" s="231"/>
      <c r="E6" s="231"/>
      <c r="F6" s="231"/>
      <c r="G6" s="231"/>
      <c r="H6" s="231"/>
      <c r="I6" s="231"/>
      <c r="J6" s="231"/>
      <c r="K6" s="422"/>
      <c r="L6" s="424"/>
      <c r="M6" s="424"/>
      <c r="N6" s="336"/>
      <c r="O6" s="337"/>
    </row>
    <row r="7" spans="1:18" ht="14.4" thickBot="1" x14ac:dyDescent="0.35">
      <c r="A7" s="292" t="s">
        <v>395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4"/>
    </row>
    <row r="8" spans="1:18" x14ac:dyDescent="0.3">
      <c r="A8" s="319" t="s">
        <v>22</v>
      </c>
      <c r="B8" s="321" t="s">
        <v>49</v>
      </c>
      <c r="C8" s="321" t="s">
        <v>475</v>
      </c>
      <c r="D8" s="122">
        <v>1</v>
      </c>
      <c r="E8" s="122">
        <v>2</v>
      </c>
      <c r="F8" s="122">
        <v>3</v>
      </c>
      <c r="G8" s="122">
        <v>4</v>
      </c>
      <c r="H8" s="122">
        <v>5</v>
      </c>
      <c r="I8" s="122">
        <v>6</v>
      </c>
      <c r="J8" s="122">
        <v>7</v>
      </c>
      <c r="K8" s="122">
        <v>8</v>
      </c>
      <c r="L8" s="122">
        <v>9</v>
      </c>
      <c r="M8" s="122">
        <v>10</v>
      </c>
      <c r="N8" s="122">
        <v>11</v>
      </c>
      <c r="O8" s="123">
        <v>12</v>
      </c>
    </row>
    <row r="9" spans="1:18" ht="14.4" thickBot="1" x14ac:dyDescent="0.35">
      <c r="A9" s="320"/>
      <c r="B9" s="322"/>
      <c r="C9" s="322"/>
      <c r="D9" s="124">
        <v>44501</v>
      </c>
      <c r="E9" s="124">
        <v>44531</v>
      </c>
      <c r="F9" s="124">
        <v>44562</v>
      </c>
      <c r="G9" s="124">
        <v>44593</v>
      </c>
      <c r="H9" s="124">
        <v>44621</v>
      </c>
      <c r="I9" s="124">
        <v>44652</v>
      </c>
      <c r="J9" s="124">
        <v>44682</v>
      </c>
      <c r="K9" s="124">
        <v>44713</v>
      </c>
      <c r="L9" s="124">
        <v>44743</v>
      </c>
      <c r="M9" s="124">
        <v>44774</v>
      </c>
      <c r="N9" s="124">
        <v>44805</v>
      </c>
      <c r="O9" s="125">
        <v>44835</v>
      </c>
      <c r="R9" s="126"/>
    </row>
    <row r="10" spans="1:18" x14ac:dyDescent="0.3">
      <c r="A10" s="425">
        <v>1</v>
      </c>
      <c r="B10" s="427" t="str">
        <f>INDEX([4]SINTÉTICO!$A$9:$J$278,MATCH(MODELO!A10,[4]SINTÉTICO!$A$9:$A$278,0),4)</f>
        <v>ADMINISTRAÇÃO LOCAL DA OBRA</v>
      </c>
      <c r="C10" s="127">
        <f>SUM(D10:O10)</f>
        <v>1</v>
      </c>
      <c r="D10" s="128">
        <v>8.3299999999999999E-2</v>
      </c>
      <c r="E10" s="128">
        <v>8.3299999999999999E-2</v>
      </c>
      <c r="F10" s="128">
        <v>8.3299999999999999E-2</v>
      </c>
      <c r="G10" s="128">
        <v>8.3299999999999999E-2</v>
      </c>
      <c r="H10" s="128">
        <v>8.3299999999999999E-2</v>
      </c>
      <c r="I10" s="128">
        <v>8.3299999999999999E-2</v>
      </c>
      <c r="J10" s="128">
        <v>8.3299999999999999E-2</v>
      </c>
      <c r="K10" s="128">
        <v>8.3299999999999999E-2</v>
      </c>
      <c r="L10" s="128">
        <v>8.3299999999999999E-2</v>
      </c>
      <c r="M10" s="128">
        <v>8.3299999999999999E-2</v>
      </c>
      <c r="N10" s="128">
        <v>8.3299999999999999E-2</v>
      </c>
      <c r="O10" s="129">
        <v>8.3299999999999999E-2</v>
      </c>
    </row>
    <row r="11" spans="1:18" x14ac:dyDescent="0.3">
      <c r="A11" s="426"/>
      <c r="B11" s="315" t="e">
        <f>INDEX([3]SINTÉTICO!$A$9:$I$166,MATCH(MODELO!#REF!,[3]SINTÉTICO!$A$9:$A$166,0),9)</f>
        <v>#REF!</v>
      </c>
      <c r="C11" s="130">
        <f>INDEX([4]SINTÉTICO!$A$9:$J$278,MATCH(MODELO!A10,[4]SINTÉTICO!$A$9:$A$278,0),9)</f>
        <v>62988.6</v>
      </c>
      <c r="D11" s="131">
        <f>$C$11*D10+2.1</f>
        <v>5249.05</v>
      </c>
      <c r="E11" s="131">
        <f t="shared" ref="E11:O11" si="0">$C$11*E10+2.1</f>
        <v>5249.05</v>
      </c>
      <c r="F11" s="131">
        <f t="shared" si="0"/>
        <v>5249.05</v>
      </c>
      <c r="G11" s="131">
        <f t="shared" si="0"/>
        <v>5249.05</v>
      </c>
      <c r="H11" s="131">
        <f t="shared" si="0"/>
        <v>5249.05</v>
      </c>
      <c r="I11" s="131">
        <f t="shared" si="0"/>
        <v>5249.05</v>
      </c>
      <c r="J11" s="131">
        <f t="shared" si="0"/>
        <v>5249.05</v>
      </c>
      <c r="K11" s="131">
        <f t="shared" si="0"/>
        <v>5249.05</v>
      </c>
      <c r="L11" s="131">
        <f t="shared" si="0"/>
        <v>5249.05</v>
      </c>
      <c r="M11" s="131">
        <f t="shared" si="0"/>
        <v>5249.05</v>
      </c>
      <c r="N11" s="131">
        <f t="shared" si="0"/>
        <v>5249.05</v>
      </c>
      <c r="O11" s="132">
        <f t="shared" si="0"/>
        <v>5249.05</v>
      </c>
      <c r="Q11" s="126">
        <f>SUM(D11:O11)</f>
        <v>62988.6</v>
      </c>
      <c r="R11" s="126">
        <f>Q11-C11</f>
        <v>0</v>
      </c>
    </row>
    <row r="12" spans="1:18" x14ac:dyDescent="0.3">
      <c r="A12" s="426">
        <v>2</v>
      </c>
      <c r="B12" s="315" t="str">
        <f>INDEX([4]SINTÉTICO!$A$9:$J$278,MATCH(MODELO!A12,[4]SINTÉTICO!$A$9:$A$278,0),4)</f>
        <v>SERVIÇOS PRELIMINARES</v>
      </c>
      <c r="C12" s="133">
        <f>SUM(D12:O12)</f>
        <v>1</v>
      </c>
      <c r="D12" s="134">
        <v>1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  <c r="R12" s="126"/>
    </row>
    <row r="13" spans="1:18" x14ac:dyDescent="0.3">
      <c r="A13" s="426"/>
      <c r="B13" s="315" t="e">
        <f>INDEX([3]SINTÉTICO!$A$9:$I$166,MATCH(MODELO!#REF!,[3]SINTÉTICO!$A$9:$A$166,0),9)</f>
        <v>#REF!</v>
      </c>
      <c r="C13" s="130">
        <f>INDEX([4]SINTÉTICO!$A$9:$J$278,MATCH(MODELO!A12,[4]SINTÉTICO!$A$9:$A$278,0),9)</f>
        <v>43296.93</v>
      </c>
      <c r="D13" s="131">
        <f>$C$13*D12</f>
        <v>43296.93</v>
      </c>
      <c r="E13" s="131">
        <f t="shared" ref="E13:O13" si="1">$C$13*E12</f>
        <v>0</v>
      </c>
      <c r="F13" s="131">
        <f t="shared" si="1"/>
        <v>0</v>
      </c>
      <c r="G13" s="131">
        <f t="shared" si="1"/>
        <v>0</v>
      </c>
      <c r="H13" s="131">
        <f t="shared" si="1"/>
        <v>0</v>
      </c>
      <c r="I13" s="131">
        <f t="shared" si="1"/>
        <v>0</v>
      </c>
      <c r="J13" s="131">
        <f t="shared" si="1"/>
        <v>0</v>
      </c>
      <c r="K13" s="131">
        <f t="shared" si="1"/>
        <v>0</v>
      </c>
      <c r="L13" s="131">
        <f t="shared" si="1"/>
        <v>0</v>
      </c>
      <c r="M13" s="131">
        <f t="shared" si="1"/>
        <v>0</v>
      </c>
      <c r="N13" s="131">
        <f t="shared" si="1"/>
        <v>0</v>
      </c>
      <c r="O13" s="132">
        <f t="shared" si="1"/>
        <v>0</v>
      </c>
      <c r="Q13" s="126">
        <f>SUM(D13:O13)</f>
        <v>43296.93</v>
      </c>
      <c r="R13" s="126">
        <f t="shared" ref="R13:R33" si="2">Q13-C13</f>
        <v>0</v>
      </c>
    </row>
    <row r="14" spans="1:18" x14ac:dyDescent="0.3">
      <c r="A14" s="426">
        <v>3</v>
      </c>
      <c r="B14" s="315" t="str">
        <f>INDEX([4]SINTÉTICO!$A$9:$J$278,MATCH(MODELO!A14,[4]SINTÉTICO!$A$9:$A$278,0),4)</f>
        <v>MOVIMENTO DE TERRA</v>
      </c>
      <c r="C14" s="133">
        <f>SUM(D14:O14)</f>
        <v>1</v>
      </c>
      <c r="D14" s="134">
        <v>1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R14" s="126"/>
    </row>
    <row r="15" spans="1:18" x14ac:dyDescent="0.3">
      <c r="A15" s="426"/>
      <c r="B15" s="315" t="e">
        <f>INDEX([3]SINTÉTICO!$A$9:$I$166,MATCH(MODELO!#REF!,[3]SINTÉTICO!$A$9:$A$166,0),9)</f>
        <v>#REF!</v>
      </c>
      <c r="C15" s="130">
        <f>INDEX([4]SINTÉTICO!$A$9:$J$278,MATCH(MODELO!A14,[4]SINTÉTICO!$A$9:$A$278,0),9)</f>
        <v>21584.02</v>
      </c>
      <c r="D15" s="131">
        <f>$C$15*D14</f>
        <v>21584.02</v>
      </c>
      <c r="E15" s="131">
        <f t="shared" ref="E15:O15" si="3">$C$15*E14</f>
        <v>0</v>
      </c>
      <c r="F15" s="131">
        <f t="shared" si="3"/>
        <v>0</v>
      </c>
      <c r="G15" s="131">
        <f t="shared" si="3"/>
        <v>0</v>
      </c>
      <c r="H15" s="131">
        <f t="shared" si="3"/>
        <v>0</v>
      </c>
      <c r="I15" s="131">
        <f t="shared" si="3"/>
        <v>0</v>
      </c>
      <c r="J15" s="131">
        <f t="shared" si="3"/>
        <v>0</v>
      </c>
      <c r="K15" s="131">
        <f t="shared" si="3"/>
        <v>0</v>
      </c>
      <c r="L15" s="131">
        <f t="shared" si="3"/>
        <v>0</v>
      </c>
      <c r="M15" s="131">
        <f t="shared" si="3"/>
        <v>0</v>
      </c>
      <c r="N15" s="131">
        <f t="shared" si="3"/>
        <v>0</v>
      </c>
      <c r="O15" s="132">
        <f t="shared" si="3"/>
        <v>0</v>
      </c>
      <c r="Q15" s="126">
        <f>SUM(D15:O15)</f>
        <v>21584.02</v>
      </c>
      <c r="R15" s="126">
        <f t="shared" si="2"/>
        <v>0</v>
      </c>
    </row>
    <row r="16" spans="1:18" x14ac:dyDescent="0.3">
      <c r="A16" s="426">
        <v>4</v>
      </c>
      <c r="B16" s="315" t="str">
        <f>INDEX([4]SINTÉTICO!$A$9:$J$278,MATCH(MODELO!A16,[4]SINTÉTICO!$A$9:$A$278,0),4)</f>
        <v>ESTRUTURA</v>
      </c>
      <c r="C16" s="133">
        <f>SUM(D16:O16)</f>
        <v>1</v>
      </c>
      <c r="D16" s="134">
        <v>0.6</v>
      </c>
      <c r="E16" s="134">
        <v>0.4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5"/>
      <c r="R16" s="126"/>
    </row>
    <row r="17" spans="1:18" x14ac:dyDescent="0.3">
      <c r="A17" s="426"/>
      <c r="B17" s="315" t="e">
        <f>INDEX([3]SINTÉTICO!$A$9:$I$166,MATCH(MODELO!#REF!,[3]SINTÉTICO!$A$9:$A$166,0),9)</f>
        <v>#REF!</v>
      </c>
      <c r="C17" s="130">
        <f>INDEX([4]SINTÉTICO!$A$9:$J$278,MATCH(MODELO!A16,[4]SINTÉTICO!$A$9:$A$278,0),9)</f>
        <v>52266.2</v>
      </c>
      <c r="D17" s="131">
        <f>$C$17*D16</f>
        <v>31359.72</v>
      </c>
      <c r="E17" s="131">
        <f t="shared" ref="E17:O17" si="4">$C$17*E16</f>
        <v>20906.48</v>
      </c>
      <c r="F17" s="131">
        <f t="shared" si="4"/>
        <v>0</v>
      </c>
      <c r="G17" s="131">
        <f t="shared" si="4"/>
        <v>0</v>
      </c>
      <c r="H17" s="131">
        <f t="shared" si="4"/>
        <v>0</v>
      </c>
      <c r="I17" s="131">
        <f t="shared" si="4"/>
        <v>0</v>
      </c>
      <c r="J17" s="131">
        <f t="shared" si="4"/>
        <v>0</v>
      </c>
      <c r="K17" s="131">
        <f t="shared" si="4"/>
        <v>0</v>
      </c>
      <c r="L17" s="131">
        <f t="shared" si="4"/>
        <v>0</v>
      </c>
      <c r="M17" s="131">
        <f t="shared" si="4"/>
        <v>0</v>
      </c>
      <c r="N17" s="131">
        <f t="shared" si="4"/>
        <v>0</v>
      </c>
      <c r="O17" s="132">
        <f t="shared" si="4"/>
        <v>0</v>
      </c>
      <c r="Q17" s="126">
        <f>SUM(D17:O17)</f>
        <v>52266.2</v>
      </c>
      <c r="R17" s="126">
        <f t="shared" si="2"/>
        <v>0</v>
      </c>
    </row>
    <row r="18" spans="1:18" x14ac:dyDescent="0.3">
      <c r="A18" s="426">
        <v>5</v>
      </c>
      <c r="B18" s="315" t="str">
        <f>INDEX([4]SINTÉTICO!$A$9:$J$278,MATCH(MODELO!A18,[4]SINTÉTICO!$A$9:$A$278,0),4)</f>
        <v>TÉRREO E COBERTURA</v>
      </c>
      <c r="C18" s="133">
        <f>SUM(D18:O18)</f>
        <v>1</v>
      </c>
      <c r="D18" s="134"/>
      <c r="E18" s="134">
        <v>0.5</v>
      </c>
      <c r="F18" s="134">
        <v>0.5</v>
      </c>
      <c r="G18" s="134"/>
      <c r="H18" s="134"/>
      <c r="I18" s="134"/>
      <c r="J18" s="134"/>
      <c r="K18" s="134"/>
      <c r="L18" s="134"/>
      <c r="M18" s="134"/>
      <c r="N18" s="134"/>
      <c r="O18" s="135"/>
      <c r="R18" s="126"/>
    </row>
    <row r="19" spans="1:18" x14ac:dyDescent="0.3">
      <c r="A19" s="426"/>
      <c r="B19" s="315" t="e">
        <f>INDEX([3]SINTÉTICO!$A$9:$I$166,MATCH(MODELO!#REF!,[3]SINTÉTICO!$A$9:$A$166,0),9)</f>
        <v>#REF!</v>
      </c>
      <c r="C19" s="130">
        <f>INDEX([4]SINTÉTICO!$A$9:$J$278,MATCH(MODELO!A18,[4]SINTÉTICO!$A$9:$A$278,0),9)</f>
        <v>143663.98000000001</v>
      </c>
      <c r="D19" s="131">
        <f>$C$19*D18</f>
        <v>0</v>
      </c>
      <c r="E19" s="131">
        <f t="shared" ref="E19:O19" si="5">$C$19*E18</f>
        <v>71831.990000000005</v>
      </c>
      <c r="F19" s="131">
        <f t="shared" si="5"/>
        <v>71831.990000000005</v>
      </c>
      <c r="G19" s="131">
        <f t="shared" si="5"/>
        <v>0</v>
      </c>
      <c r="H19" s="131">
        <f t="shared" si="5"/>
        <v>0</v>
      </c>
      <c r="I19" s="131">
        <f t="shared" si="5"/>
        <v>0</v>
      </c>
      <c r="J19" s="131">
        <f t="shared" si="5"/>
        <v>0</v>
      </c>
      <c r="K19" s="131">
        <f t="shared" si="5"/>
        <v>0</v>
      </c>
      <c r="L19" s="131">
        <f t="shared" si="5"/>
        <v>0</v>
      </c>
      <c r="M19" s="131">
        <f t="shared" si="5"/>
        <v>0</v>
      </c>
      <c r="N19" s="131">
        <f t="shared" si="5"/>
        <v>0</v>
      </c>
      <c r="O19" s="132">
        <f t="shared" si="5"/>
        <v>0</v>
      </c>
      <c r="Q19" s="126">
        <f>SUM(D19:O19)</f>
        <v>143663.98000000001</v>
      </c>
      <c r="R19" s="126">
        <f t="shared" si="2"/>
        <v>0</v>
      </c>
    </row>
    <row r="20" spans="1:18" x14ac:dyDescent="0.3">
      <c r="A20" s="426">
        <v>6</v>
      </c>
      <c r="B20" s="315" t="str">
        <f>INDEX([4]SINTÉTICO!$A$9:$J$278,MATCH(MODELO!A20,[4]SINTÉTICO!$A$9:$A$278,0),4)</f>
        <v>ALVENARIA</v>
      </c>
      <c r="C20" s="133">
        <f>SUM(D20:O20)</f>
        <v>1</v>
      </c>
      <c r="D20" s="134"/>
      <c r="E20" s="134"/>
      <c r="F20" s="134">
        <v>0.4</v>
      </c>
      <c r="G20" s="134">
        <v>0.6</v>
      </c>
      <c r="H20" s="134"/>
      <c r="I20" s="134"/>
      <c r="J20" s="134"/>
      <c r="K20" s="134"/>
      <c r="L20" s="134"/>
      <c r="M20" s="134"/>
      <c r="N20" s="134"/>
      <c r="O20" s="135"/>
      <c r="R20" s="126"/>
    </row>
    <row r="21" spans="1:18" x14ac:dyDescent="0.3">
      <c r="A21" s="426"/>
      <c r="B21" s="315" t="e">
        <f>INDEX([3]SINTÉTICO!$A$9:$I$166,MATCH(MODELO!#REF!,[3]SINTÉTICO!$A$9:$A$166,0),9)</f>
        <v>#REF!</v>
      </c>
      <c r="C21" s="130">
        <f>INDEX([4]SINTÉTICO!$A$9:$J$278,MATCH(MODELO!A20,[4]SINTÉTICO!$A$9:$A$278,0),9)</f>
        <v>180588.27</v>
      </c>
      <c r="D21" s="131">
        <f>$C$21*D20</f>
        <v>0</v>
      </c>
      <c r="E21" s="131">
        <f t="shared" ref="E21:O21" si="6">$C$21*E20</f>
        <v>0</v>
      </c>
      <c r="F21" s="131">
        <f t="shared" si="6"/>
        <v>72235.31</v>
      </c>
      <c r="G21" s="131">
        <f t="shared" si="6"/>
        <v>108352.96000000001</v>
      </c>
      <c r="H21" s="131">
        <f t="shared" si="6"/>
        <v>0</v>
      </c>
      <c r="I21" s="131">
        <f t="shared" si="6"/>
        <v>0</v>
      </c>
      <c r="J21" s="131">
        <f t="shared" si="6"/>
        <v>0</v>
      </c>
      <c r="K21" s="131">
        <f t="shared" si="6"/>
        <v>0</v>
      </c>
      <c r="L21" s="131">
        <f t="shared" si="6"/>
        <v>0</v>
      </c>
      <c r="M21" s="131">
        <f t="shared" si="6"/>
        <v>0</v>
      </c>
      <c r="N21" s="131">
        <f t="shared" si="6"/>
        <v>0</v>
      </c>
      <c r="O21" s="132">
        <f t="shared" si="6"/>
        <v>0</v>
      </c>
      <c r="Q21" s="126">
        <f>SUM(D21:O21)</f>
        <v>180588.27</v>
      </c>
      <c r="R21" s="126">
        <f t="shared" si="2"/>
        <v>0</v>
      </c>
    </row>
    <row r="22" spans="1:18" x14ac:dyDescent="0.3">
      <c r="A22" s="426">
        <v>7</v>
      </c>
      <c r="B22" s="315" t="str">
        <f>INDEX([4]SINTÉTICO!$A$9:$J$278,MATCH(MODELO!A22,[4]SINTÉTICO!$A$9:$A$278,0),4)</f>
        <v>IMPERMEABILIZAÇÃO</v>
      </c>
      <c r="C22" s="133">
        <f>SUM(D22:O22)</f>
        <v>1</v>
      </c>
      <c r="D22" s="134"/>
      <c r="E22" s="134"/>
      <c r="F22" s="134">
        <v>0.4</v>
      </c>
      <c r="G22" s="134"/>
      <c r="H22" s="134">
        <v>0.6</v>
      </c>
      <c r="I22" s="134"/>
      <c r="J22" s="134"/>
      <c r="K22" s="134"/>
      <c r="L22" s="134"/>
      <c r="M22" s="134"/>
      <c r="N22" s="134"/>
      <c r="O22" s="135"/>
      <c r="R22" s="126"/>
    </row>
    <row r="23" spans="1:18" x14ac:dyDescent="0.3">
      <c r="A23" s="426"/>
      <c r="B23" s="315" t="e">
        <f>INDEX([3]SINTÉTICO!$A$9:$I$166,MATCH(MODELO!#REF!,[3]SINTÉTICO!$A$9:$A$166,0),9)</f>
        <v>#REF!</v>
      </c>
      <c r="C23" s="130">
        <f>INDEX([4]SINTÉTICO!$A$9:$J$278,MATCH(MODELO!A22,[4]SINTÉTICO!$A$9:$A$278,0),9)</f>
        <v>18926.599999999999</v>
      </c>
      <c r="D23" s="131">
        <f>$C$23*D22</f>
        <v>0</v>
      </c>
      <c r="E23" s="131">
        <f t="shared" ref="E23:O23" si="7">$C$23*E22</f>
        <v>0</v>
      </c>
      <c r="F23" s="131">
        <f t="shared" si="7"/>
        <v>7570.64</v>
      </c>
      <c r="G23" s="131">
        <f t="shared" si="7"/>
        <v>0</v>
      </c>
      <c r="H23" s="131">
        <f t="shared" si="7"/>
        <v>11355.96</v>
      </c>
      <c r="I23" s="131">
        <f t="shared" si="7"/>
        <v>0</v>
      </c>
      <c r="J23" s="131">
        <f t="shared" si="7"/>
        <v>0</v>
      </c>
      <c r="K23" s="131">
        <f t="shared" si="7"/>
        <v>0</v>
      </c>
      <c r="L23" s="131">
        <f t="shared" si="7"/>
        <v>0</v>
      </c>
      <c r="M23" s="131">
        <f t="shared" si="7"/>
        <v>0</v>
      </c>
      <c r="N23" s="131">
        <f t="shared" si="7"/>
        <v>0</v>
      </c>
      <c r="O23" s="132">
        <f t="shared" si="7"/>
        <v>0</v>
      </c>
      <c r="Q23" s="126">
        <f>SUM(D23:O23)</f>
        <v>18926.599999999999</v>
      </c>
      <c r="R23" s="126">
        <f t="shared" si="2"/>
        <v>0</v>
      </c>
    </row>
    <row r="24" spans="1:18" x14ac:dyDescent="0.3">
      <c r="A24" s="426">
        <v>8</v>
      </c>
      <c r="B24" s="315" t="str">
        <f>INDEX([4]SINTÉTICO!$A$9:$J$278,MATCH(MODELO!A24,[4]SINTÉTICO!$A$9:$A$278,0),4)</f>
        <v>EXECUÇÃO DE PISO</v>
      </c>
      <c r="C24" s="133">
        <f>SUM(D24:O24)</f>
        <v>1</v>
      </c>
      <c r="D24" s="134"/>
      <c r="E24" s="134"/>
      <c r="F24" s="134"/>
      <c r="G24" s="134">
        <v>0.4</v>
      </c>
      <c r="H24" s="134">
        <v>0.6</v>
      </c>
      <c r="I24" s="134"/>
      <c r="J24" s="134"/>
      <c r="K24" s="134"/>
      <c r="L24" s="134"/>
      <c r="M24" s="134"/>
      <c r="N24" s="134"/>
      <c r="O24" s="135"/>
      <c r="R24" s="126"/>
    </row>
    <row r="25" spans="1:18" x14ac:dyDescent="0.3">
      <c r="A25" s="426"/>
      <c r="B25" s="315" t="e">
        <f>INDEX([3]SINTÉTICO!$A$9:$I$166,MATCH(MODELO!#REF!,[3]SINTÉTICO!$A$9:$A$166,0),9)</f>
        <v>#REF!</v>
      </c>
      <c r="C25" s="130">
        <f>INDEX([4]SINTÉTICO!$A$9:$J$278,MATCH(MODELO!A24,[4]SINTÉTICO!$A$9:$A$278,0),9)</f>
        <v>112110.69</v>
      </c>
      <c r="D25" s="131">
        <f>$C$25*D24</f>
        <v>0</v>
      </c>
      <c r="E25" s="131">
        <f t="shared" ref="E25:O25" si="8">$C$25*E24</f>
        <v>0</v>
      </c>
      <c r="F25" s="131">
        <f t="shared" si="8"/>
        <v>0</v>
      </c>
      <c r="G25" s="131">
        <f t="shared" si="8"/>
        <v>44844.28</v>
      </c>
      <c r="H25" s="131">
        <f t="shared" si="8"/>
        <v>67266.41</v>
      </c>
      <c r="I25" s="131">
        <f t="shared" si="8"/>
        <v>0</v>
      </c>
      <c r="J25" s="131">
        <f t="shared" si="8"/>
        <v>0</v>
      </c>
      <c r="K25" s="131">
        <f t="shared" si="8"/>
        <v>0</v>
      </c>
      <c r="L25" s="131">
        <f t="shared" si="8"/>
        <v>0</v>
      </c>
      <c r="M25" s="131">
        <f t="shared" si="8"/>
        <v>0</v>
      </c>
      <c r="N25" s="131">
        <f t="shared" si="8"/>
        <v>0</v>
      </c>
      <c r="O25" s="132">
        <f t="shared" si="8"/>
        <v>0</v>
      </c>
      <c r="Q25" s="126">
        <f>SUM(D25:O25)</f>
        <v>112110.69</v>
      </c>
      <c r="R25" s="126">
        <f t="shared" si="2"/>
        <v>0</v>
      </c>
    </row>
    <row r="26" spans="1:18" x14ac:dyDescent="0.3">
      <c r="A26" s="426">
        <v>9</v>
      </c>
      <c r="B26" s="315" t="str">
        <f>INDEX([4]SINTÉTICO!$A$9:$J$278,MATCH(MODELO!A26,[4]SINTÉTICO!$A$9:$A$278,0),4)</f>
        <v>PAREDE</v>
      </c>
      <c r="C26" s="133">
        <f>SUM(D26:O26)</f>
        <v>1</v>
      </c>
      <c r="D26" s="134"/>
      <c r="E26" s="134"/>
      <c r="F26" s="134"/>
      <c r="G26" s="134"/>
      <c r="H26" s="134">
        <v>0.4</v>
      </c>
      <c r="I26" s="134">
        <v>0.6</v>
      </c>
      <c r="J26" s="134"/>
      <c r="K26" s="134"/>
      <c r="L26" s="134"/>
      <c r="M26" s="134"/>
      <c r="N26" s="134"/>
      <c r="O26" s="135"/>
      <c r="R26" s="126"/>
    </row>
    <row r="27" spans="1:18" x14ac:dyDescent="0.3">
      <c r="A27" s="426"/>
      <c r="B27" s="315" t="e">
        <f>INDEX([3]SINTÉTICO!$A$9:$I$166,MATCH(MODELO!#REF!,[3]SINTÉTICO!$A$9:$A$166,0),9)</f>
        <v>#REF!</v>
      </c>
      <c r="C27" s="130">
        <f>INDEX([4]SINTÉTICO!$A$9:$J$278,MATCH(MODELO!A26,[4]SINTÉTICO!$A$9:$A$278,0),9)</f>
        <v>174747.73</v>
      </c>
      <c r="D27" s="131">
        <f>$C$27*D26</f>
        <v>0</v>
      </c>
      <c r="E27" s="131">
        <f t="shared" ref="E27:O27" si="9">$C$27*E26</f>
        <v>0</v>
      </c>
      <c r="F27" s="131">
        <f t="shared" si="9"/>
        <v>0</v>
      </c>
      <c r="G27" s="131">
        <f t="shared" si="9"/>
        <v>0</v>
      </c>
      <c r="H27" s="131">
        <f t="shared" si="9"/>
        <v>69899.09</v>
      </c>
      <c r="I27" s="131">
        <f t="shared" si="9"/>
        <v>104848.64</v>
      </c>
      <c r="J27" s="131">
        <f t="shared" si="9"/>
        <v>0</v>
      </c>
      <c r="K27" s="131">
        <f t="shared" si="9"/>
        <v>0</v>
      </c>
      <c r="L27" s="131">
        <f t="shared" si="9"/>
        <v>0</v>
      </c>
      <c r="M27" s="131">
        <f t="shared" si="9"/>
        <v>0</v>
      </c>
      <c r="N27" s="131">
        <f t="shared" si="9"/>
        <v>0</v>
      </c>
      <c r="O27" s="132">
        <f t="shared" si="9"/>
        <v>0</v>
      </c>
      <c r="Q27" s="126">
        <f>SUM(D27:O27)</f>
        <v>174747.73</v>
      </c>
      <c r="R27" s="126">
        <f t="shared" si="2"/>
        <v>0</v>
      </c>
    </row>
    <row r="28" spans="1:18" x14ac:dyDescent="0.3">
      <c r="A28" s="426">
        <v>10</v>
      </c>
      <c r="B28" s="315" t="str">
        <f>INDEX([4]SINTÉTICO!$A$9:$J$278,MATCH(MODELO!A28,[4]SINTÉTICO!$A$9:$A$278,0),4)</f>
        <v>COBERTURA</v>
      </c>
      <c r="C28" s="133">
        <f>SUM(D28:O28)</f>
        <v>1</v>
      </c>
      <c r="D28" s="134"/>
      <c r="E28" s="134"/>
      <c r="F28" s="134"/>
      <c r="G28" s="134"/>
      <c r="H28" s="134"/>
      <c r="I28" s="134">
        <v>0.4</v>
      </c>
      <c r="J28" s="134">
        <v>0.6</v>
      </c>
      <c r="K28" s="134"/>
      <c r="L28" s="134"/>
      <c r="M28" s="134"/>
      <c r="N28" s="134"/>
      <c r="O28" s="135"/>
      <c r="R28" s="126"/>
    </row>
    <row r="29" spans="1:18" x14ac:dyDescent="0.3">
      <c r="A29" s="426"/>
      <c r="B29" s="315" t="e">
        <f>INDEX([3]SINTÉTICO!$A$9:$I$166,MATCH(MODELO!#REF!,[3]SINTÉTICO!$A$9:$A$166,0),9)</f>
        <v>#REF!</v>
      </c>
      <c r="C29" s="130">
        <f>INDEX([4]SINTÉTICO!$A$9:$J$278,MATCH(MODELO!A28,[4]SINTÉTICO!$A$9:$A$278,0),9)</f>
        <v>85033.01</v>
      </c>
      <c r="D29" s="131">
        <f>$C$29*D28</f>
        <v>0</v>
      </c>
      <c r="E29" s="131">
        <f t="shared" ref="E29:O29" si="10">$C$29*E28</f>
        <v>0</v>
      </c>
      <c r="F29" s="131">
        <f t="shared" si="10"/>
        <v>0</v>
      </c>
      <c r="G29" s="131">
        <f t="shared" si="10"/>
        <v>0</v>
      </c>
      <c r="H29" s="131">
        <f t="shared" si="10"/>
        <v>0</v>
      </c>
      <c r="I29" s="131">
        <f t="shared" si="10"/>
        <v>34013.199999999997</v>
      </c>
      <c r="J29" s="131">
        <f t="shared" si="10"/>
        <v>51019.81</v>
      </c>
      <c r="K29" s="131">
        <f t="shared" si="10"/>
        <v>0</v>
      </c>
      <c r="L29" s="131">
        <f t="shared" si="10"/>
        <v>0</v>
      </c>
      <c r="M29" s="131">
        <f t="shared" si="10"/>
        <v>0</v>
      </c>
      <c r="N29" s="131">
        <f t="shared" si="10"/>
        <v>0</v>
      </c>
      <c r="O29" s="132">
        <f t="shared" si="10"/>
        <v>0</v>
      </c>
      <c r="Q29" s="126">
        <f>SUM(D29:O29)</f>
        <v>85033.01</v>
      </c>
      <c r="R29" s="126">
        <f t="shared" si="2"/>
        <v>0</v>
      </c>
    </row>
    <row r="30" spans="1:18" x14ac:dyDescent="0.3">
      <c r="A30" s="426">
        <v>11</v>
      </c>
      <c r="B30" s="315" t="str">
        <f>INDEX([4]SINTÉTICO!$A$9:$J$278,MATCH(MODELO!A30,[4]SINTÉTICO!$A$9:$A$278,0),4)</f>
        <v>FORRO</v>
      </c>
      <c r="C30" s="133">
        <f>SUM(D30:O30)</f>
        <v>1</v>
      </c>
      <c r="D30" s="134"/>
      <c r="E30" s="134"/>
      <c r="F30" s="134"/>
      <c r="G30" s="134"/>
      <c r="H30" s="134"/>
      <c r="I30" s="134"/>
      <c r="J30" s="134">
        <v>0.5</v>
      </c>
      <c r="K30" s="134">
        <v>0.5</v>
      </c>
      <c r="L30" s="134"/>
      <c r="M30" s="134"/>
      <c r="N30" s="134"/>
      <c r="O30" s="135"/>
      <c r="R30" s="126"/>
    </row>
    <row r="31" spans="1:18" x14ac:dyDescent="0.3">
      <c r="A31" s="426"/>
      <c r="B31" s="315" t="e">
        <f>INDEX([3]SINTÉTICO!$A$9:$I$166,MATCH(MODELO!#REF!,[3]SINTÉTICO!$A$9:$A$166,0),9)</f>
        <v>#REF!</v>
      </c>
      <c r="C31" s="130">
        <f>INDEX([4]SINTÉTICO!$A$9:$J$278,MATCH(MODELO!A30,[4]SINTÉTICO!$A$9:$A$278,0),9)</f>
        <v>40038.42</v>
      </c>
      <c r="D31" s="131">
        <f>$C$31*D30</f>
        <v>0</v>
      </c>
      <c r="E31" s="131">
        <f t="shared" ref="E31:O31" si="11">$C$31*E30</f>
        <v>0</v>
      </c>
      <c r="F31" s="131">
        <f t="shared" si="11"/>
        <v>0</v>
      </c>
      <c r="G31" s="131">
        <f t="shared" si="11"/>
        <v>0</v>
      </c>
      <c r="H31" s="131">
        <f t="shared" si="11"/>
        <v>0</v>
      </c>
      <c r="I31" s="131">
        <f t="shared" si="11"/>
        <v>0</v>
      </c>
      <c r="J31" s="131">
        <f t="shared" si="11"/>
        <v>20019.21</v>
      </c>
      <c r="K31" s="131">
        <f t="shared" si="11"/>
        <v>20019.21</v>
      </c>
      <c r="L31" s="131">
        <f t="shared" si="11"/>
        <v>0</v>
      </c>
      <c r="M31" s="131">
        <f t="shared" si="11"/>
        <v>0</v>
      </c>
      <c r="N31" s="131">
        <f t="shared" si="11"/>
        <v>0</v>
      </c>
      <c r="O31" s="132">
        <f t="shared" si="11"/>
        <v>0</v>
      </c>
      <c r="Q31" s="126">
        <f>SUM(D31:O31)</f>
        <v>40038.42</v>
      </c>
      <c r="R31" s="126">
        <f t="shared" si="2"/>
        <v>0</v>
      </c>
    </row>
    <row r="32" spans="1:18" x14ac:dyDescent="0.3">
      <c r="A32" s="426">
        <v>12</v>
      </c>
      <c r="B32" s="315" t="str">
        <f>INDEX([4]SINTÉTICO!$A$9:$J$278,MATCH(MODELO!A32,[4]SINTÉTICO!$A$9:$A$278,0),4)</f>
        <v>ESQUADRIAS</v>
      </c>
      <c r="C32" s="133">
        <f>SUM(D32:O32)</f>
        <v>1</v>
      </c>
      <c r="D32" s="134"/>
      <c r="E32" s="134"/>
      <c r="F32" s="134"/>
      <c r="G32" s="134"/>
      <c r="H32" s="134">
        <v>0.45</v>
      </c>
      <c r="I32" s="134">
        <v>0.55000000000000004</v>
      </c>
      <c r="J32" s="134"/>
      <c r="K32" s="134"/>
      <c r="L32" s="134"/>
      <c r="M32" s="134"/>
      <c r="N32" s="134"/>
      <c r="O32" s="135"/>
      <c r="R32" s="126"/>
    </row>
    <row r="33" spans="1:18" x14ac:dyDescent="0.3">
      <c r="A33" s="426"/>
      <c r="B33" s="315" t="e">
        <f>INDEX([3]SINTÉTICO!$A$9:$I$166,MATCH(MODELO!#REF!,[3]SINTÉTICO!$A$9:$A$166,0),9)</f>
        <v>#REF!</v>
      </c>
      <c r="C33" s="130">
        <f>INDEX([4]SINTÉTICO!$A$9:$J$278,MATCH(MODELO!A32,[4]SINTÉTICO!$A$9:$A$278,0),9)</f>
        <v>86694.35</v>
      </c>
      <c r="D33" s="131">
        <f>$C$33*D32</f>
        <v>0</v>
      </c>
      <c r="E33" s="131">
        <f t="shared" ref="E33:O33" si="12">$C$33*E32</f>
        <v>0</v>
      </c>
      <c r="F33" s="131">
        <f t="shared" si="12"/>
        <v>0</v>
      </c>
      <c r="G33" s="131">
        <f t="shared" si="12"/>
        <v>0</v>
      </c>
      <c r="H33" s="131">
        <f t="shared" si="12"/>
        <v>39012.46</v>
      </c>
      <c r="I33" s="131">
        <f t="shared" si="12"/>
        <v>47681.89</v>
      </c>
      <c r="J33" s="131">
        <f t="shared" si="12"/>
        <v>0</v>
      </c>
      <c r="K33" s="131">
        <f t="shared" si="12"/>
        <v>0</v>
      </c>
      <c r="L33" s="131">
        <f t="shared" si="12"/>
        <v>0</v>
      </c>
      <c r="M33" s="131">
        <f t="shared" si="12"/>
        <v>0</v>
      </c>
      <c r="N33" s="131">
        <f t="shared" si="12"/>
        <v>0</v>
      </c>
      <c r="O33" s="132">
        <f t="shared" si="12"/>
        <v>0</v>
      </c>
      <c r="Q33" s="126">
        <f>SUM(D33:O33)</f>
        <v>86694.35</v>
      </c>
      <c r="R33" s="126">
        <f t="shared" si="2"/>
        <v>0</v>
      </c>
    </row>
    <row r="34" spans="1:18" x14ac:dyDescent="0.3">
      <c r="A34" s="426">
        <v>13</v>
      </c>
      <c r="B34" s="315" t="str">
        <f>INDEX([4]SINTÉTICO!$A$9:$J$278,MATCH(MODELO!A34,[4]SINTÉTICO!$A$9:$A$278,0),4)</f>
        <v>INSTALAÇÕES ELÉTRICAS</v>
      </c>
      <c r="C34" s="133">
        <f>SUM(D34:O34)</f>
        <v>1</v>
      </c>
      <c r="D34" s="134"/>
      <c r="E34" s="134"/>
      <c r="F34" s="134"/>
      <c r="G34" s="134"/>
      <c r="H34" s="134"/>
      <c r="I34" s="134"/>
      <c r="J34" s="134"/>
      <c r="K34" s="134">
        <v>0.5</v>
      </c>
      <c r="L34" s="134">
        <v>0.5</v>
      </c>
      <c r="M34" s="134"/>
      <c r="N34" s="134"/>
      <c r="O34" s="135"/>
    </row>
    <row r="35" spans="1:18" x14ac:dyDescent="0.3">
      <c r="A35" s="426"/>
      <c r="B35" s="315" t="e">
        <f>INDEX([3]SINTÉTICO!$A$9:$I$166,MATCH(MODELO!#REF!,[3]SINTÉTICO!$A$9:$A$166,0),9)</f>
        <v>#REF!</v>
      </c>
      <c r="C35" s="130">
        <f>INDEX([4]SINTÉTICO!$A$9:$J$278,MATCH(MODELO!A34,[4]SINTÉTICO!$A$9:$A$278,0),9)</f>
        <v>95741.58</v>
      </c>
      <c r="D35" s="131">
        <f>$C$35*D34</f>
        <v>0</v>
      </c>
      <c r="E35" s="131">
        <f t="shared" ref="E35:O35" si="13">$C$35*E34</f>
        <v>0</v>
      </c>
      <c r="F35" s="131">
        <f t="shared" si="13"/>
        <v>0</v>
      </c>
      <c r="G35" s="131">
        <f t="shared" si="13"/>
        <v>0</v>
      </c>
      <c r="H35" s="131">
        <f t="shared" si="13"/>
        <v>0</v>
      </c>
      <c r="I35" s="131">
        <f t="shared" si="13"/>
        <v>0</v>
      </c>
      <c r="J35" s="131">
        <f t="shared" si="13"/>
        <v>0</v>
      </c>
      <c r="K35" s="131">
        <f t="shared" si="13"/>
        <v>47870.79</v>
      </c>
      <c r="L35" s="131">
        <f t="shared" si="13"/>
        <v>47870.79</v>
      </c>
      <c r="M35" s="131">
        <f t="shared" si="13"/>
        <v>0</v>
      </c>
      <c r="N35" s="131">
        <f t="shared" si="13"/>
        <v>0</v>
      </c>
      <c r="O35" s="132">
        <f t="shared" si="13"/>
        <v>0</v>
      </c>
      <c r="Q35" s="126">
        <f>SUM(D35:O35)</f>
        <v>95741.58</v>
      </c>
      <c r="R35" s="126">
        <f>Q35-C35</f>
        <v>0</v>
      </c>
    </row>
    <row r="36" spans="1:18" x14ac:dyDescent="0.3">
      <c r="A36" s="426">
        <v>14</v>
      </c>
      <c r="B36" s="315" t="str">
        <f>INDEX([4]SINTÉTICO!$A$9:$J$278,MATCH(MODELO!A36,[4]SINTÉTICO!$A$9:$A$278,0),4)</f>
        <v>INSTALAÇÕES HIDROSSANITÁRIAS</v>
      </c>
      <c r="C36" s="133">
        <f>SUM(D36:O36)</f>
        <v>1</v>
      </c>
      <c r="D36" s="134"/>
      <c r="E36" s="134"/>
      <c r="F36" s="134"/>
      <c r="G36" s="134"/>
      <c r="H36" s="134"/>
      <c r="I36" s="134"/>
      <c r="J36" s="134"/>
      <c r="K36" s="134"/>
      <c r="L36" s="134">
        <v>0.4</v>
      </c>
      <c r="M36" s="134">
        <v>0.6</v>
      </c>
      <c r="N36" s="134"/>
      <c r="O36" s="135"/>
      <c r="R36" s="126"/>
    </row>
    <row r="37" spans="1:18" x14ac:dyDescent="0.3">
      <c r="A37" s="426"/>
      <c r="B37" s="315" t="e">
        <f>INDEX([3]SINTÉTICO!$A$9:$I$166,MATCH(MODELO!#REF!,[3]SINTÉTICO!$A$9:$A$166,0),9)</f>
        <v>#REF!</v>
      </c>
      <c r="C37" s="130">
        <f>INDEX([4]SINTÉTICO!$A$9:$J$278,MATCH(MODELO!A36,[4]SINTÉTICO!$A$9:$A$278,0),9)</f>
        <v>108175.05</v>
      </c>
      <c r="D37" s="131">
        <f>$C$37*D36</f>
        <v>0</v>
      </c>
      <c r="E37" s="131">
        <f t="shared" ref="E37:O37" si="14">$C$37*E36</f>
        <v>0</v>
      </c>
      <c r="F37" s="131">
        <f t="shared" si="14"/>
        <v>0</v>
      </c>
      <c r="G37" s="131">
        <f t="shared" si="14"/>
        <v>0</v>
      </c>
      <c r="H37" s="131">
        <f t="shared" si="14"/>
        <v>0</v>
      </c>
      <c r="I37" s="131">
        <f t="shared" si="14"/>
        <v>0</v>
      </c>
      <c r="J37" s="131">
        <f t="shared" si="14"/>
        <v>0</v>
      </c>
      <c r="K37" s="131">
        <f t="shared" si="14"/>
        <v>0</v>
      </c>
      <c r="L37" s="131">
        <f t="shared" si="14"/>
        <v>43270.02</v>
      </c>
      <c r="M37" s="131">
        <f t="shared" si="14"/>
        <v>64905.03</v>
      </c>
      <c r="N37" s="131">
        <f t="shared" si="14"/>
        <v>0</v>
      </c>
      <c r="O37" s="132">
        <f t="shared" si="14"/>
        <v>0</v>
      </c>
      <c r="Q37" s="126">
        <f>SUM(D37:O37)</f>
        <v>108175.05</v>
      </c>
      <c r="R37" s="126">
        <f t="shared" ref="R37" si="15">Q37-C37</f>
        <v>0</v>
      </c>
    </row>
    <row r="38" spans="1:18" x14ac:dyDescent="0.3">
      <c r="A38" s="426">
        <v>15</v>
      </c>
      <c r="B38" s="315" t="str">
        <f>INDEX([4]SINTÉTICO!$A$9:$J$278,MATCH(MODELO!A38,[4]SINTÉTICO!$A$9:$A$278,0),4)</f>
        <v>CENTRAL DE AR</v>
      </c>
      <c r="C38" s="133">
        <f>SUM(D38:O38)</f>
        <v>1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>
        <v>0.5</v>
      </c>
      <c r="N38" s="134">
        <v>0.5</v>
      </c>
      <c r="O38" s="135"/>
      <c r="R38" s="126"/>
    </row>
    <row r="39" spans="1:18" x14ac:dyDescent="0.3">
      <c r="A39" s="426"/>
      <c r="B39" s="315" t="e">
        <f>INDEX([3]SINTÉTICO!$A$9:$I$166,MATCH(MODELO!#REF!,[3]SINTÉTICO!$A$9:$A$166,0),9)</f>
        <v>#REF!</v>
      </c>
      <c r="C39" s="130">
        <f>INDEX([4]SINTÉTICO!$A$9:$J$278,MATCH(MODELO!A38,[4]SINTÉTICO!$A$9:$A$278,0),9)</f>
        <v>50379.06</v>
      </c>
      <c r="D39" s="131">
        <f>$C$39*D38</f>
        <v>0</v>
      </c>
      <c r="E39" s="131">
        <f t="shared" ref="E39:O39" si="16">$C$39*E38</f>
        <v>0</v>
      </c>
      <c r="F39" s="131">
        <f t="shared" si="16"/>
        <v>0</v>
      </c>
      <c r="G39" s="131">
        <f t="shared" si="16"/>
        <v>0</v>
      </c>
      <c r="H39" s="131">
        <f t="shared" si="16"/>
        <v>0</v>
      </c>
      <c r="I39" s="131">
        <f t="shared" si="16"/>
        <v>0</v>
      </c>
      <c r="J39" s="131">
        <f t="shared" si="16"/>
        <v>0</v>
      </c>
      <c r="K39" s="131">
        <f t="shared" si="16"/>
        <v>0</v>
      </c>
      <c r="L39" s="131">
        <f t="shared" si="16"/>
        <v>0</v>
      </c>
      <c r="M39" s="131">
        <f t="shared" si="16"/>
        <v>25189.53</v>
      </c>
      <c r="N39" s="131">
        <f t="shared" si="16"/>
        <v>25189.53</v>
      </c>
      <c r="O39" s="132">
        <f t="shared" si="16"/>
        <v>0</v>
      </c>
      <c r="Q39" s="126">
        <f>SUM(D39:O39)</f>
        <v>50379.06</v>
      </c>
      <c r="R39" s="126">
        <f t="shared" ref="R39" si="17">Q39-C39</f>
        <v>0</v>
      </c>
    </row>
    <row r="40" spans="1:18" x14ac:dyDescent="0.3">
      <c r="A40" s="426">
        <v>16</v>
      </c>
      <c r="B40" s="315" t="str">
        <f>INDEX([4]SINTÉTICO!$A$9:$J$278,MATCH(MODELO!A40,[4]SINTÉTICO!$A$9:$A$278,0),4)</f>
        <v>PREVENÇÃO E COMBATE À INCÊNCIO</v>
      </c>
      <c r="C40" s="133">
        <f>SUM(D40:O40)</f>
        <v>1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>
        <v>1</v>
      </c>
      <c r="O40" s="135"/>
      <c r="R40" s="126"/>
    </row>
    <row r="41" spans="1:18" x14ac:dyDescent="0.3">
      <c r="A41" s="426"/>
      <c r="B41" s="315" t="e">
        <f>INDEX([3]SINTÉTICO!$A$9:$I$166,MATCH(MODELO!#REF!,[3]SINTÉTICO!$A$9:$A$166,0),9)</f>
        <v>#REF!</v>
      </c>
      <c r="C41" s="130">
        <f>INDEX([4]SINTÉTICO!$A$9:$J$278,MATCH(MODELO!A40,[4]SINTÉTICO!$A$9:$A$278,0),9)</f>
        <v>5472.14</v>
      </c>
      <c r="D41" s="131">
        <f>$C$41*D40</f>
        <v>0</v>
      </c>
      <c r="E41" s="131">
        <f t="shared" ref="E41:O41" si="18">$C$41*E40</f>
        <v>0</v>
      </c>
      <c r="F41" s="131">
        <f t="shared" si="18"/>
        <v>0</v>
      </c>
      <c r="G41" s="131">
        <f t="shared" si="18"/>
        <v>0</v>
      </c>
      <c r="H41" s="131">
        <f t="shared" si="18"/>
        <v>0</v>
      </c>
      <c r="I41" s="131">
        <f t="shared" si="18"/>
        <v>0</v>
      </c>
      <c r="J41" s="131">
        <f t="shared" si="18"/>
        <v>0</v>
      </c>
      <c r="K41" s="131">
        <f t="shared" si="18"/>
        <v>0</v>
      </c>
      <c r="L41" s="131">
        <f t="shared" si="18"/>
        <v>0</v>
      </c>
      <c r="M41" s="131">
        <f t="shared" si="18"/>
        <v>0</v>
      </c>
      <c r="N41" s="131">
        <f t="shared" si="18"/>
        <v>5472.14</v>
      </c>
      <c r="O41" s="132">
        <f t="shared" si="18"/>
        <v>0</v>
      </c>
      <c r="Q41" s="126">
        <f>SUM(D41:O41)</f>
        <v>5472.14</v>
      </c>
      <c r="R41" s="126">
        <f t="shared" ref="R41" si="19">Q41-C41</f>
        <v>0</v>
      </c>
    </row>
    <row r="42" spans="1:18" x14ac:dyDescent="0.3">
      <c r="A42" s="428">
        <v>17</v>
      </c>
      <c r="B42" s="315" t="str">
        <f>INDEX([4]SINTÉTICO!$A$9:$J$278,MATCH(MODELO!A42,[4]SINTÉTICO!$A$9:$A$278,0),4)</f>
        <v>REDE DE AR COMPRIMIDO</v>
      </c>
      <c r="C42" s="133">
        <f>SUM(D42:O42)</f>
        <v>1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>
        <v>1</v>
      </c>
      <c r="O42" s="135"/>
      <c r="R42" s="126"/>
    </row>
    <row r="43" spans="1:18" x14ac:dyDescent="0.3">
      <c r="A43" s="429"/>
      <c r="B43" s="315" t="e">
        <f>INDEX([3]SINTÉTICO!$A$9:$I$166,MATCH(MODELO!#REF!,[3]SINTÉTICO!$A$9:$A$166,0),9)</f>
        <v>#REF!</v>
      </c>
      <c r="C43" s="130">
        <f>INDEX([4]SINTÉTICO!$A$9:$J$278,MATCH(MODELO!A42,[4]SINTÉTICO!$A$9:$A$278,0),9)</f>
        <v>3212.44</v>
      </c>
      <c r="D43" s="131">
        <f t="shared" ref="D43:M43" si="20">$C$43*D42</f>
        <v>0</v>
      </c>
      <c r="E43" s="131">
        <f t="shared" si="20"/>
        <v>0</v>
      </c>
      <c r="F43" s="131">
        <f t="shared" si="20"/>
        <v>0</v>
      </c>
      <c r="G43" s="131">
        <f t="shared" si="20"/>
        <v>0</v>
      </c>
      <c r="H43" s="131">
        <f t="shared" si="20"/>
        <v>0</v>
      </c>
      <c r="I43" s="131">
        <f t="shared" si="20"/>
        <v>0</v>
      </c>
      <c r="J43" s="131">
        <f t="shared" si="20"/>
        <v>0</v>
      </c>
      <c r="K43" s="131">
        <f t="shared" si="20"/>
        <v>0</v>
      </c>
      <c r="L43" s="131">
        <f t="shared" si="20"/>
        <v>0</v>
      </c>
      <c r="M43" s="131">
        <f t="shared" si="20"/>
        <v>0</v>
      </c>
      <c r="N43" s="131">
        <f>$C$43*N42</f>
        <v>3212.44</v>
      </c>
      <c r="O43" s="132">
        <f>$C$43*O42</f>
        <v>0</v>
      </c>
      <c r="Q43" s="126">
        <f>SUM(D43:O43)</f>
        <v>3212.44</v>
      </c>
      <c r="R43" s="126">
        <f t="shared" ref="R43" si="21">Q43-C43</f>
        <v>0</v>
      </c>
    </row>
    <row r="44" spans="1:18" x14ac:dyDescent="0.3">
      <c r="A44" s="428">
        <v>18</v>
      </c>
      <c r="B44" s="315" t="str">
        <f>INDEX([4]SINTÉTICO!$A$9:$J$278,MATCH(MODELO!A44,[4]SINTÉTICO!$A$9:$A$278,0),4)</f>
        <v>SERVIÇOS FINAIS</v>
      </c>
      <c r="C44" s="133">
        <f>SUM(D44:O44)</f>
        <v>1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>
        <v>0.2</v>
      </c>
      <c r="O44" s="135">
        <v>0.8</v>
      </c>
      <c r="R44" s="126"/>
    </row>
    <row r="45" spans="1:18" ht="14.4" thickBot="1" x14ac:dyDescent="0.35">
      <c r="A45" s="430"/>
      <c r="B45" s="431" t="e">
        <f>INDEX([3]SINTÉTICO!$A$9:$I$166,MATCH(MODELO!#REF!,[3]SINTÉTICO!$A$9:$A$166,0),9)</f>
        <v>#REF!</v>
      </c>
      <c r="C45" s="136">
        <f>INDEX([4]SINTÉTICO!$A$9:$J$278,MATCH(MODELO!A44,[4]SINTÉTICO!$A$9:$A$278,0),9)</f>
        <v>4326.79</v>
      </c>
      <c r="D45" s="137">
        <f>$C$45*D44</f>
        <v>0</v>
      </c>
      <c r="E45" s="137">
        <f t="shared" ref="E45:O45" si="22">$C$45*E44</f>
        <v>0</v>
      </c>
      <c r="F45" s="137">
        <f t="shared" si="22"/>
        <v>0</v>
      </c>
      <c r="G45" s="137">
        <f t="shared" si="22"/>
        <v>0</v>
      </c>
      <c r="H45" s="137">
        <f t="shared" si="22"/>
        <v>0</v>
      </c>
      <c r="I45" s="137">
        <f t="shared" si="22"/>
        <v>0</v>
      </c>
      <c r="J45" s="137">
        <f t="shared" si="22"/>
        <v>0</v>
      </c>
      <c r="K45" s="137">
        <f t="shared" si="22"/>
        <v>0</v>
      </c>
      <c r="L45" s="137">
        <f t="shared" si="22"/>
        <v>0</v>
      </c>
      <c r="M45" s="137">
        <f t="shared" si="22"/>
        <v>0</v>
      </c>
      <c r="N45" s="137">
        <f t="shared" si="22"/>
        <v>865.36</v>
      </c>
      <c r="O45" s="138">
        <f t="shared" si="22"/>
        <v>3461.43</v>
      </c>
      <c r="Q45" s="126">
        <f>SUM(D45:O45)</f>
        <v>4326.79</v>
      </c>
      <c r="R45" s="126">
        <f t="shared" ref="R45" si="23">Q45-C45</f>
        <v>0</v>
      </c>
    </row>
    <row r="46" spans="1:18" x14ac:dyDescent="0.3">
      <c r="A46" s="432" t="s">
        <v>476</v>
      </c>
      <c r="B46" s="433">
        <f>SUM(C11,C13,C15,C17,C19,C21,C23,C25,C27,C29,C31,C33,C35,C37,C39,C41,C43,C45)</f>
        <v>1289245.8600000001</v>
      </c>
      <c r="C46" s="139" t="s">
        <v>53</v>
      </c>
      <c r="D46" s="140">
        <f>D47/$B$46</f>
        <v>7.8700000000000006E-2</v>
      </c>
      <c r="E46" s="140">
        <f>E47/$B$46</f>
        <v>7.5999999999999998E-2</v>
      </c>
      <c r="F46" s="140">
        <f t="shared" ref="F46:O46" si="24">F47/$B$46</f>
        <v>0.1217</v>
      </c>
      <c r="G46" s="140">
        <f t="shared" si="24"/>
        <v>0.1229</v>
      </c>
      <c r="H46" s="140">
        <f t="shared" si="24"/>
        <v>0.14949999999999999</v>
      </c>
      <c r="I46" s="140">
        <f t="shared" si="24"/>
        <v>0.14879999999999999</v>
      </c>
      <c r="J46" s="140">
        <f t="shared" si="24"/>
        <v>5.9200000000000003E-2</v>
      </c>
      <c r="K46" s="140">
        <f t="shared" si="24"/>
        <v>5.67E-2</v>
      </c>
      <c r="L46" s="140">
        <f t="shared" si="24"/>
        <v>7.4800000000000005E-2</v>
      </c>
      <c r="M46" s="140">
        <f t="shared" si="24"/>
        <v>7.3999999999999996E-2</v>
      </c>
      <c r="N46" s="140">
        <f t="shared" si="24"/>
        <v>3.1E-2</v>
      </c>
      <c r="O46" s="141">
        <f t="shared" si="24"/>
        <v>6.7999999999999996E-3</v>
      </c>
    </row>
    <row r="47" spans="1:18" x14ac:dyDescent="0.3">
      <c r="A47" s="341"/>
      <c r="B47" s="344"/>
      <c r="C47" s="142" t="s">
        <v>477</v>
      </c>
      <c r="D47" s="143">
        <f>SUM(D11,D13,D15,D17,D19,D21,D23,D25,D27,D29,D31,D33,D35,D37,D39,D41,D43,D45)</f>
        <v>101489.72</v>
      </c>
      <c r="E47" s="143">
        <f t="shared" ref="E47:O47" si="25">SUM(E11,E13,E15,E17,E19,E21,E23,E25,E27,E29,E31,E33,E35,E37,E39,E41,E43,E45)</f>
        <v>97987.520000000004</v>
      </c>
      <c r="F47" s="143">
        <f t="shared" si="25"/>
        <v>156886.99</v>
      </c>
      <c r="G47" s="143">
        <f t="shared" si="25"/>
        <v>158446.29</v>
      </c>
      <c r="H47" s="143">
        <f t="shared" si="25"/>
        <v>192782.97</v>
      </c>
      <c r="I47" s="143">
        <f t="shared" si="25"/>
        <v>191792.78</v>
      </c>
      <c r="J47" s="143">
        <f t="shared" si="25"/>
        <v>76288.070000000007</v>
      </c>
      <c r="K47" s="143">
        <f t="shared" si="25"/>
        <v>73139.05</v>
      </c>
      <c r="L47" s="143">
        <f t="shared" si="25"/>
        <v>96389.86</v>
      </c>
      <c r="M47" s="143">
        <f t="shared" si="25"/>
        <v>95343.61</v>
      </c>
      <c r="N47" s="143">
        <f t="shared" si="25"/>
        <v>39988.519999999997</v>
      </c>
      <c r="O47" s="144">
        <f t="shared" si="25"/>
        <v>8710.48</v>
      </c>
    </row>
    <row r="48" spans="1:18" x14ac:dyDescent="0.3">
      <c r="A48" s="341"/>
      <c r="B48" s="344"/>
      <c r="C48" s="142" t="s">
        <v>478</v>
      </c>
      <c r="D48" s="145">
        <f>D46</f>
        <v>7.8700000000000006E-2</v>
      </c>
      <c r="E48" s="145">
        <f>D48+E46</f>
        <v>0.1547</v>
      </c>
      <c r="F48" s="145">
        <f>E48+F46</f>
        <v>0.27639999999999998</v>
      </c>
      <c r="G48" s="145">
        <f t="shared" ref="G48:O49" si="26">F48+G46</f>
        <v>0.39929999999999999</v>
      </c>
      <c r="H48" s="145">
        <f t="shared" si="26"/>
        <v>0.54879999999999995</v>
      </c>
      <c r="I48" s="145">
        <f t="shared" si="26"/>
        <v>0.6976</v>
      </c>
      <c r="J48" s="145">
        <f t="shared" si="26"/>
        <v>0.75680000000000003</v>
      </c>
      <c r="K48" s="145">
        <f t="shared" si="26"/>
        <v>0.8135</v>
      </c>
      <c r="L48" s="145">
        <f t="shared" si="26"/>
        <v>0.88829999999999998</v>
      </c>
      <c r="M48" s="145">
        <f t="shared" si="26"/>
        <v>0.96230000000000004</v>
      </c>
      <c r="N48" s="145">
        <f t="shared" si="26"/>
        <v>0.99329999999999996</v>
      </c>
      <c r="O48" s="146">
        <f t="shared" si="26"/>
        <v>1.0001</v>
      </c>
    </row>
    <row r="49" spans="1:15" ht="14.4" thickBot="1" x14ac:dyDescent="0.35">
      <c r="A49" s="342"/>
      <c r="B49" s="345"/>
      <c r="C49" s="147" t="s">
        <v>479</v>
      </c>
      <c r="D49" s="148">
        <f>D47</f>
        <v>101489.72</v>
      </c>
      <c r="E49" s="148">
        <f>D49+E47</f>
        <v>199477.24</v>
      </c>
      <c r="F49" s="148">
        <f>E49+F47</f>
        <v>356364.23</v>
      </c>
      <c r="G49" s="148">
        <f t="shared" si="26"/>
        <v>514810.52</v>
      </c>
      <c r="H49" s="148">
        <f t="shared" si="26"/>
        <v>707593.49</v>
      </c>
      <c r="I49" s="148">
        <f t="shared" si="26"/>
        <v>899386.27</v>
      </c>
      <c r="J49" s="148">
        <f t="shared" si="26"/>
        <v>975674.34</v>
      </c>
      <c r="K49" s="148">
        <f t="shared" si="26"/>
        <v>1048813.3899999999</v>
      </c>
      <c r="L49" s="148">
        <f t="shared" si="26"/>
        <v>1145203.25</v>
      </c>
      <c r="M49" s="148">
        <f t="shared" si="26"/>
        <v>1240546.8600000001</v>
      </c>
      <c r="N49" s="148">
        <f t="shared" si="26"/>
        <v>1280535.3799999999</v>
      </c>
      <c r="O49" s="149">
        <f t="shared" si="26"/>
        <v>1289245.8600000001</v>
      </c>
    </row>
    <row r="50" spans="1:15" ht="14.25" customHeight="1" x14ac:dyDescent="0.3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2"/>
    </row>
    <row r="51" spans="1:15" x14ac:dyDescent="0.3">
      <c r="A51" s="348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50"/>
    </row>
    <row r="52" spans="1:15" x14ac:dyDescent="0.3">
      <c r="A52" s="348" t="s">
        <v>189</v>
      </c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50"/>
    </row>
    <row r="53" spans="1:15" x14ac:dyDescent="0.3">
      <c r="A53" s="348" t="s">
        <v>190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50"/>
    </row>
    <row r="54" spans="1:15" x14ac:dyDescent="0.3">
      <c r="A54" s="348" t="s">
        <v>191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50"/>
    </row>
    <row r="55" spans="1:15" ht="15" customHeight="1" thickBot="1" x14ac:dyDescent="0.35">
      <c r="A55" s="365" t="s">
        <v>192</v>
      </c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7"/>
    </row>
    <row r="57" spans="1:15" x14ac:dyDescent="0.3">
      <c r="B57" s="126">
        <f>[4]SINTÉTICO!I279</f>
        <v>1289245.8600000001</v>
      </c>
      <c r="C57" s="126">
        <f>B46-B57</f>
        <v>0</v>
      </c>
      <c r="O57" s="126">
        <f>B46-O49</f>
        <v>0</v>
      </c>
    </row>
  </sheetData>
  <mergeCells count="64">
    <mergeCell ref="A55:O55"/>
    <mergeCell ref="A42:A43"/>
    <mergeCell ref="B42:B43"/>
    <mergeCell ref="A44:A45"/>
    <mergeCell ref="B44:B45"/>
    <mergeCell ref="A46:A49"/>
    <mergeCell ref="B46:B49"/>
    <mergeCell ref="A50:O50"/>
    <mergeCell ref="A51:O51"/>
    <mergeCell ref="A52:O52"/>
    <mergeCell ref="A53:O53"/>
    <mergeCell ref="A54:O54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7:O7"/>
    <mergeCell ref="A8:A9"/>
    <mergeCell ref="B8:B9"/>
    <mergeCell ref="C8:C9"/>
    <mergeCell ref="A10:A11"/>
    <mergeCell ref="B10:B11"/>
    <mergeCell ref="A1:A6"/>
    <mergeCell ref="B1:K1"/>
    <mergeCell ref="L1:M1"/>
    <mergeCell ref="N1:O1"/>
    <mergeCell ref="B2:K2"/>
    <mergeCell ref="L2:M2"/>
    <mergeCell ref="N2:O3"/>
    <mergeCell ref="B3:K3"/>
    <mergeCell ref="L3:M3"/>
    <mergeCell ref="B4:K4"/>
    <mergeCell ref="L4:M4"/>
    <mergeCell ref="N4:O4"/>
    <mergeCell ref="B5:K6"/>
    <mergeCell ref="L5:M5"/>
    <mergeCell ref="N5:O6"/>
    <mergeCell ref="L6:M6"/>
  </mergeCells>
  <conditionalFormatting sqref="D10:O33">
    <cfRule type="cellIs" dxfId="7" priority="6" operator="equal">
      <formula>0</formula>
    </cfRule>
  </conditionalFormatting>
  <conditionalFormatting sqref="D33:O33 D31:O31 D29:O29 D27:O27 D25:O25 D23:O23 D21:O21 D19:O19 D17:O17 D15:O15 D13:O13 D11:O11">
    <cfRule type="cellIs" dxfId="6" priority="5" operator="greaterThan">
      <formula>0</formula>
    </cfRule>
  </conditionalFormatting>
  <conditionalFormatting sqref="D34:O41 D44:O45">
    <cfRule type="cellIs" dxfId="5" priority="4" operator="equal">
      <formula>0</formula>
    </cfRule>
  </conditionalFormatting>
  <conditionalFormatting sqref="D35:O35 D37:O37 D39:O39 D41:O41 D45:O45">
    <cfRule type="cellIs" dxfId="4" priority="3" operator="greaterThan">
      <formula>0</formula>
    </cfRule>
  </conditionalFormatting>
  <conditionalFormatting sqref="D42:O43">
    <cfRule type="cellIs" dxfId="3" priority="2" operator="equal">
      <formula>0</formula>
    </cfRule>
  </conditionalFormatting>
  <conditionalFormatting sqref="D43:O43">
    <cfRule type="cellIs" dxfId="2" priority="1" operator="greaterThan">
      <formula>0</formula>
    </cfRule>
  </conditionalFormatting>
  <pageMargins left="0.51181102362204722" right="0.51181102362204722" top="0.78740157480314965" bottom="0.98425196850393704" header="0.51181102362204722" footer="0.19685039370078741"/>
  <pageSetup paperSize="8" scale="92" fitToHeight="0" orientation="landscape" r:id="rId1"/>
  <headerFooter>
    <oddHeader>&amp;L &amp;C &amp;R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CAPA</vt:lpstr>
      <vt:lpstr>ÍNDICE</vt:lpstr>
      <vt:lpstr>CONTRACAPA</vt:lpstr>
      <vt:lpstr>SINTÉTICO</vt:lpstr>
      <vt:lpstr>MEMÓRIA DE CÁLCULO</vt:lpstr>
      <vt:lpstr>CRONOGRAMA</vt:lpstr>
      <vt:lpstr>RELATÓRIO FOTOGRÁFICO</vt:lpstr>
      <vt:lpstr>CPU</vt:lpstr>
      <vt:lpstr>MODELO</vt:lpstr>
      <vt:lpstr>BDI</vt:lpstr>
      <vt:lpstr>ENCARGOS SOCIAIS</vt:lpstr>
      <vt:lpstr>Relatório do Orçafascio</vt:lpstr>
      <vt:lpstr>BDI!Area_de_impressao</vt:lpstr>
      <vt:lpstr>CAPA!Area_de_impressao</vt:lpstr>
      <vt:lpstr>CONTRACAPA!Area_de_impressao</vt:lpstr>
      <vt:lpstr>CPU!Area_de_impressao</vt:lpstr>
      <vt:lpstr>CRONOGRAMA!Area_de_impressao</vt:lpstr>
      <vt:lpstr>'ENCARGOS SOCIAIS'!Area_de_impressao</vt:lpstr>
      <vt:lpstr>ÍNDICE!Area_de_impressao</vt:lpstr>
      <vt:lpstr>'MEMÓRIA DE CÁLCULO'!Area_de_impressao</vt:lpstr>
      <vt:lpstr>MODELO!Area_de_impressao</vt:lpstr>
      <vt:lpstr>'RELATÓRIO FOTOGRÁFICO'!Area_de_impressao</vt:lpstr>
      <vt:lpstr>SINTÉTICO!Area_de_impressao</vt:lpstr>
      <vt:lpstr>'MEMÓRIA DE CÁLCULO'!Titulos_de_impressao</vt:lpstr>
      <vt:lpstr>'RELATÓRIO FOTOGRÁFICO'!Titulos_de_impressao</vt:lpstr>
      <vt:lpstr>SINTÉTICO!Titulos_de_impressao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Escócio</dc:creator>
  <cp:lastModifiedBy>Paulo Mateus</cp:lastModifiedBy>
  <cp:lastPrinted>2024-08-06T15:52:08Z</cp:lastPrinted>
  <dcterms:created xsi:type="dcterms:W3CDTF">2021-09-13T16:32:20Z</dcterms:created>
  <dcterms:modified xsi:type="dcterms:W3CDTF">2024-08-06T15:52:55Z</dcterms:modified>
</cp:coreProperties>
</file>